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GavinWu\Downloads\2026 CMRT Updates\"/>
    </mc:Choice>
  </mc:AlternateContent>
  <xr:revisionPtr revIDLastSave="0" documentId="8_{2AB86BEF-0949-4180-BA41-495A2716C2D5}" xr6:coauthVersionLast="47" xr6:coauthVersionMax="47" xr10:uidLastSave="{00000000-0000-0000-0000-000000000000}"/>
  <workbookProtection workbookAlgorithmName="SHA-512" workbookHashValue="978f6ycqMhQ4ThjJc+UIu38rlH3rTctWYCI8/INTDDC/0jiWmz13D2emI7TNvwSc6ViknlhvekdbcBGiOms2mQ==" workbookSaltValue="GkylJZ/vXi7DBCFtbJaOuQ==" workbookSpinCount="100000" lockStructure="1"/>
  <bookViews>
    <workbookView xWindow="28680" yWindow="-120" windowWidth="29040" windowHeight="157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C20" i="3"/>
  <c r="A75" i="2"/>
  <c r="N4" i="5"/>
  <c r="A43" i="2"/>
  <c r="C3" i="3"/>
  <c r="C19" i="3"/>
  <c r="B31" i="4"/>
  <c r="A18" i="6"/>
  <c r="P4" i="5"/>
  <c r="A45" i="2"/>
  <c r="C4" i="3"/>
  <c r="B26" i="4"/>
  <c r="A12" i="2"/>
  <c r="A29" i="2"/>
  <c r="A46" i="2"/>
  <c r="A63" i="2"/>
  <c r="B5" i="3"/>
  <c r="B13" i="3"/>
  <c r="B25" i="3"/>
  <c r="B9" i="4"/>
  <c r="A5" i="6"/>
  <c r="B39" i="4"/>
  <c r="G3" i="5"/>
  <c r="B19" i="4"/>
  <c r="H74" i="4"/>
  <c r="A11" i="2"/>
  <c r="A28" i="2"/>
  <c r="A62" i="2"/>
  <c r="C12" i="3"/>
  <c r="C24" i="3"/>
  <c r="B7" i="4"/>
  <c r="B87" i="4"/>
  <c r="A62" i="6"/>
  <c r="A13" i="2"/>
  <c r="A30" i="2"/>
  <c r="A48" i="2"/>
  <c r="A64" i="2"/>
  <c r="C5" i="3"/>
  <c r="C13" i="3"/>
  <c r="C25" i="3"/>
  <c r="B67" i="4"/>
  <c r="A48" i="6"/>
  <c r="B73" i="4"/>
  <c r="B4" i="5"/>
  <c r="B2006" i="7"/>
  <c r="A21" i="2"/>
  <c r="A39" i="2"/>
  <c r="C17" i="3"/>
  <c r="B55" i="4"/>
  <c r="A38" i="6"/>
  <c r="A4" i="2"/>
  <c r="A56" i="2"/>
  <c r="C9" i="3"/>
  <c r="B4" i="4"/>
  <c r="B24" i="4"/>
  <c r="B79" i="4"/>
  <c r="A57" i="6"/>
  <c r="A9" i="2"/>
  <c r="A26" i="2"/>
  <c r="A60" i="2"/>
  <c r="C11" i="3"/>
  <c r="C23" i="3"/>
  <c r="D25" i="4"/>
  <c r="B83" i="4"/>
  <c r="A59" i="6"/>
  <c r="A17" i="2"/>
  <c r="A34" i="2"/>
  <c r="A52" i="2"/>
  <c r="A70" i="2"/>
  <c r="C7" i="3"/>
  <c r="C15" i="3"/>
  <c r="C27" i="3"/>
  <c r="B15" i="4"/>
  <c r="A7" i="6"/>
  <c r="B28" i="4"/>
  <c r="B40" i="4"/>
  <c r="F4" i="5"/>
  <c r="A2" i="2"/>
  <c r="A19" i="2"/>
  <c r="A37" i="2"/>
  <c r="A54" i="2"/>
  <c r="A72" i="2"/>
  <c r="C8" i="3"/>
  <c r="C16" i="3"/>
  <c r="D2" i="4"/>
  <c r="B17" i="4"/>
  <c r="A9" i="6"/>
  <c r="H4" i="5"/>
  <c r="J14" i="6"/>
  <c r="C14" i="6"/>
  <c r="J15" i="6"/>
  <c r="J16" i="6"/>
  <c r="J17" i="6"/>
  <c r="C17" i="6"/>
  <c r="J25" i="6"/>
  <c r="C25" i="6"/>
  <c r="I26" i="6"/>
  <c r="J37" i="6"/>
  <c r="C37" i="6"/>
  <c r="J45" i="6"/>
  <c r="C45" i="6"/>
  <c r="I46" i="6"/>
  <c r="I54" i="6"/>
  <c r="J63" i="6"/>
  <c r="C63" i="6"/>
  <c r="J64" i="6"/>
  <c r="J66" i="6"/>
  <c r="I67" i="6"/>
  <c r="A1" i="8"/>
  <c r="I19" i="6"/>
  <c r="J26" i="6"/>
  <c r="C26" i="6"/>
  <c r="I27" i="6"/>
  <c r="I39" i="6"/>
  <c r="J46" i="6"/>
  <c r="C46" i="6"/>
  <c r="I47" i="6"/>
  <c r="J54" i="6"/>
  <c r="C54" i="6"/>
  <c r="I55" i="6"/>
  <c r="I56" i="6"/>
  <c r="C56" i="6"/>
  <c r="L65" i="6"/>
  <c r="J67" i="6"/>
  <c r="I68" i="6"/>
  <c r="I69" i="6"/>
  <c r="A4" i="8"/>
  <c r="A23" i="2"/>
  <c r="A40" i="2"/>
  <c r="A49" i="2"/>
  <c r="A65" i="2"/>
  <c r="B2" i="3"/>
  <c r="B6" i="3"/>
  <c r="B10" i="3"/>
  <c r="B14" i="3"/>
  <c r="B21" i="3"/>
  <c r="B22" i="3"/>
  <c r="B26" i="3"/>
  <c r="I4" i="4"/>
  <c r="B12" i="4"/>
  <c r="B20" i="4"/>
  <c r="A11" i="6"/>
  <c r="B45" i="4"/>
  <c r="A30" i="6"/>
  <c r="I74" i="4"/>
  <c r="B89" i="4"/>
  <c r="A63" i="6"/>
  <c r="K4" i="5"/>
  <c r="A15" i="2"/>
  <c r="A32" i="2"/>
  <c r="A50" i="2"/>
  <c r="A66" i="2"/>
  <c r="C6" i="3"/>
  <c r="C14" i="3"/>
  <c r="C21" i="3"/>
  <c r="C26" i="3"/>
  <c r="B27" i="4"/>
  <c r="B43" i="4"/>
  <c r="A28" i="6"/>
  <c r="A3" i="6"/>
  <c r="J19" i="6"/>
  <c r="C19" i="6"/>
  <c r="I20" i="6"/>
  <c r="J27" i="6"/>
  <c r="C27" i="6"/>
  <c r="I29" i="6"/>
  <c r="I30" i="6"/>
  <c r="I31" i="6"/>
  <c r="I32" i="6"/>
  <c r="J39" i="6"/>
  <c r="C39" i="6"/>
  <c r="I40" i="6"/>
  <c r="J47" i="6"/>
  <c r="C47" i="6"/>
  <c r="J55" i="6"/>
  <c r="C55" i="6"/>
  <c r="J56" i="6"/>
  <c r="I57" i="6"/>
  <c r="L66" i="6"/>
  <c r="J68" i="6"/>
  <c r="B4" i="8"/>
  <c r="A6" i="2"/>
  <c r="A14" i="2"/>
  <c r="A31" i="2"/>
  <c r="A57" i="2"/>
  <c r="B18" i="3"/>
  <c r="A7" i="2"/>
  <c r="A24" i="2"/>
  <c r="A41" i="2"/>
  <c r="A58" i="2"/>
  <c r="C2" i="3"/>
  <c r="C10" i="3"/>
  <c r="C18" i="3"/>
  <c r="C22" i="3"/>
  <c r="B13" i="4"/>
  <c r="B21" i="4"/>
  <c r="B38" i="4"/>
  <c r="B75" i="4"/>
  <c r="A54" i="6"/>
  <c r="L4" i="5"/>
  <c r="A8" i="2"/>
  <c r="A16" i="2"/>
  <c r="A25" i="2"/>
  <c r="A33" i="2"/>
  <c r="A42" i="2"/>
  <c r="A51" i="2"/>
  <c r="A59" i="2"/>
  <c r="A68" i="2"/>
  <c r="B3" i="3"/>
  <c r="B7" i="3"/>
  <c r="B11" i="3"/>
  <c r="B15" i="3"/>
  <c r="B19" i="3"/>
  <c r="B23" i="3"/>
  <c r="B27" i="3"/>
  <c r="B6" i="4"/>
  <c r="B14" i="4"/>
  <c r="B22" i="4"/>
  <c r="A12" i="6"/>
  <c r="B46" i="4"/>
  <c r="A31" i="6"/>
  <c r="B77" i="4"/>
  <c r="A55" i="6"/>
  <c r="A91" i="4"/>
  <c r="B2" i="5"/>
  <c r="M4" i="5"/>
  <c r="B3" i="6"/>
  <c r="J20" i="6"/>
  <c r="C20" i="6"/>
  <c r="I21" i="6"/>
  <c r="J29" i="6"/>
  <c r="C29" i="6"/>
  <c r="J30" i="6"/>
  <c r="C30" i="6"/>
  <c r="J31" i="6"/>
  <c r="C31" i="6"/>
  <c r="J32" i="6"/>
  <c r="C32" i="6"/>
  <c r="J40" i="6"/>
  <c r="C40" i="6"/>
  <c r="I41" i="6"/>
  <c r="I49" i="6"/>
  <c r="J57" i="6"/>
  <c r="C57" i="6"/>
  <c r="I58" i="6"/>
  <c r="L67" i="6"/>
  <c r="A1" i="7"/>
  <c r="D4" i="8"/>
  <c r="C3" i="6"/>
  <c r="I4" i="6"/>
  <c r="I5" i="6"/>
  <c r="J21" i="6"/>
  <c r="C21" i="6"/>
  <c r="I22" i="6"/>
  <c r="I34" i="6"/>
  <c r="J41" i="6"/>
  <c r="C41" i="6"/>
  <c r="I42" i="6"/>
  <c r="J49" i="6"/>
  <c r="C49" i="6"/>
  <c r="I50" i="6"/>
  <c r="J58" i="6"/>
  <c r="C58" i="6"/>
  <c r="I59" i="6"/>
  <c r="L68" i="6"/>
  <c r="B5" i="7"/>
  <c r="G4" i="8"/>
  <c r="A10" i="2"/>
  <c r="A18" i="2"/>
  <c r="A27" i="2"/>
  <c r="A35" i="2"/>
  <c r="A44" i="2"/>
  <c r="A53" i="2"/>
  <c r="A61" i="2"/>
  <c r="A71" i="2"/>
  <c r="B4" i="3"/>
  <c r="B8" i="3"/>
  <c r="B12" i="3"/>
  <c r="B16" i="3"/>
  <c r="B20" i="3"/>
  <c r="B24" i="3"/>
  <c r="B28"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C22" i="6"/>
  <c r="J34" i="6"/>
  <c r="C34" i="6"/>
  <c r="I35" i="6"/>
  <c r="J42" i="6"/>
  <c r="C42" i="6"/>
  <c r="J50" i="6"/>
  <c r="C50" i="6"/>
  <c r="I51" i="6"/>
  <c r="J59" i="6"/>
  <c r="C59" i="6"/>
  <c r="I60" i="6"/>
  <c r="C5" i="7"/>
  <c r="D1" i="6"/>
  <c r="J6" i="6"/>
  <c r="J7" i="6"/>
  <c r="C7" i="6"/>
  <c r="J8" i="6"/>
  <c r="C8" i="6"/>
  <c r="J9" i="6"/>
  <c r="C9" i="6"/>
  <c r="J10" i="6"/>
  <c r="C10" i="6"/>
  <c r="J11" i="6"/>
  <c r="C11" i="6"/>
  <c r="J12" i="6"/>
  <c r="C12" i="6"/>
  <c r="I24" i="6"/>
  <c r="J35" i="6"/>
  <c r="C35" i="6"/>
  <c r="I36" i="6"/>
  <c r="I44" i="6"/>
  <c r="J51" i="6"/>
  <c r="C51" i="6"/>
  <c r="I52" i="6"/>
  <c r="J60" i="6"/>
  <c r="C60" i="6"/>
  <c r="I62" i="6"/>
  <c r="I65" i="6"/>
  <c r="F5" i="7"/>
  <c r="B10" i="4"/>
  <c r="A6" i="6"/>
  <c r="B18" i="4"/>
  <c r="A10" i="6"/>
  <c r="G25" i="4"/>
  <c r="B44" i="4"/>
  <c r="A29" i="6"/>
  <c r="B49" i="4"/>
  <c r="A33" i="6"/>
  <c r="B85" i="4"/>
  <c r="A60" i="6"/>
  <c r="A4" i="5"/>
  <c r="I4" i="5"/>
  <c r="I14" i="6"/>
  <c r="I15" i="6"/>
  <c r="I16" i="6"/>
  <c r="I17" i="6"/>
  <c r="J24" i="6"/>
  <c r="C24" i="6"/>
  <c r="I25" i="6"/>
  <c r="J36" i="6"/>
  <c r="C36" i="6"/>
  <c r="I37" i="6"/>
  <c r="J44" i="6"/>
  <c r="C44" i="6"/>
  <c r="I45" i="6"/>
  <c r="J52" i="6"/>
  <c r="C52" i="6"/>
  <c r="J62" i="6"/>
  <c r="C62" i="6"/>
  <c r="I63" i="6"/>
  <c r="I64" i="6"/>
  <c r="J65" i="6"/>
  <c r="I66" i="6"/>
  <c r="B14"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c r="B41" i="6"/>
  <c r="G41" i="6"/>
  <c r="B31" i="6"/>
  <c r="G31"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B52" i="6"/>
  <c r="G52" i="6"/>
  <c r="B37" i="6"/>
  <c r="G37" i="6"/>
  <c r="B42" i="6"/>
  <c r="G42" i="6"/>
  <c r="B40" i="6"/>
  <c r="G40" i="6"/>
  <c r="B50" i="6"/>
  <c r="G50" i="6"/>
  <c r="B25" i="6"/>
  <c r="G25" i="6"/>
  <c r="B35" i="6"/>
  <c r="G35" i="6"/>
  <c r="B39" i="6"/>
  <c r="G39" i="6"/>
  <c r="F24" i="6"/>
  <c r="B44" i="6"/>
  <c r="G44" i="6"/>
  <c r="G32" i="6"/>
  <c r="B49" i="6"/>
  <c r="G49" i="6"/>
  <c r="B34" i="6"/>
  <c r="G34" i="6"/>
  <c r="B29" i="6"/>
  <c r="G29" i="6"/>
  <c r="B24" i="6"/>
  <c r="G24" i="6"/>
  <c r="G19" i="6"/>
  <c r="H19" i="6"/>
  <c r="G22"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c r="B26" i="6"/>
  <c r="G26" i="6"/>
  <c r="G21" i="6"/>
  <c r="H21" i="6"/>
  <c r="B36" i="6"/>
  <c r="G36" i="6"/>
  <c r="G20" i="6"/>
  <c r="H20" i="6"/>
  <c r="B45" i="6"/>
  <c r="G45" i="6"/>
  <c r="D17" i="6"/>
  <c r="B27" i="6"/>
  <c r="G2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F31" i="6"/>
  <c r="F46" i="6"/>
  <c r="F41" i="6"/>
  <c r="H41" i="6"/>
  <c r="D41" i="6"/>
  <c r="F36" i="6"/>
  <c r="H36" i="6"/>
  <c r="D36" i="6"/>
  <c r="F51" i="6"/>
  <c r="H51" i="6"/>
  <c r="D51" i="6"/>
  <c r="F45" i="6"/>
  <c r="H45" i="6"/>
  <c r="D45" i="6"/>
  <c r="F66" i="6"/>
  <c r="F50" i="6"/>
  <c r="H50" i="6"/>
  <c r="D50" i="6"/>
  <c r="F30" i="6"/>
  <c r="H25" i="6"/>
  <c r="F35" i="6"/>
  <c r="F4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F42" i="6"/>
  <c r="H42" i="6"/>
  <c r="D42" i="6"/>
  <c r="H27" i="6"/>
  <c r="F68" i="6"/>
  <c r="F32" i="6"/>
  <c r="F52" i="6"/>
  <c r="H52" i="6"/>
  <c r="D52" i="6"/>
  <c r="F47" i="6"/>
  <c r="F37" i="6"/>
  <c r="H37"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H22"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F44" i="6"/>
  <c r="H44" i="6"/>
  <c r="D44" i="6"/>
  <c r="F34" i="6"/>
  <c r="F39" i="6"/>
  <c r="F54" i="6"/>
  <c r="F65" i="6"/>
  <c r="F49" i="6"/>
  <c r="F29" i="6"/>
  <c r="H29" i="6"/>
  <c r="H39" i="6"/>
  <c r="D39" i="6"/>
  <c r="H26" i="6"/>
  <c r="H24" i="6"/>
  <c r="H35" i="6"/>
  <c r="D35" i="6"/>
  <c r="H40" i="6"/>
  <c r="D40" i="6"/>
  <c r="H46" i="6"/>
  <c r="D46" i="6"/>
  <c r="H31" i="6"/>
  <c r="D29" i="6"/>
  <c r="H30" i="6"/>
  <c r="H49" i="6"/>
  <c r="D49" i="6"/>
  <c r="H34" i="6"/>
  <c r="H32" i="6"/>
  <c r="D19" i="6"/>
  <c r="K65" i="6"/>
  <c r="D24" i="6"/>
  <c r="D27" i="6"/>
  <c r="D20" i="6"/>
  <c r="C2" i="6"/>
  <c r="B2" i="6"/>
  <c r="F57" i="6"/>
  <c r="H57" i="6"/>
  <c r="H54" i="6"/>
  <c r="F62" i="6"/>
  <c r="H62" i="6"/>
  <c r="F58" i="6"/>
  <c r="H58" i="6"/>
  <c r="F60" i="6"/>
  <c r="H60" i="6"/>
  <c r="F63" i="6"/>
  <c r="H63" i="6"/>
  <c r="F59" i="6"/>
  <c r="H59" i="6"/>
  <c r="F55" i="6"/>
  <c r="D25" i="6"/>
  <c r="D26" i="6"/>
  <c r="D21" i="6"/>
  <c r="D22" i="6"/>
  <c r="H47" i="6"/>
  <c r="D47" i="6"/>
  <c r="D34" i="6"/>
  <c r="D31" i="6"/>
  <c r="D30" i="6"/>
  <c r="D32" i="6"/>
  <c r="D60" i="6"/>
  <c r="D58" i="6"/>
  <c r="D63" i="6"/>
  <c r="D62" i="6"/>
  <c r="D54" i="6"/>
  <c r="D57" i="6"/>
  <c r="F56" i="6"/>
  <c r="H56" i="6"/>
  <c r="H55"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<sst xmlns="http://schemas.openxmlformats.org/spreadsheetml/2006/main" count="21594" uniqueCount="15686">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</sst>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2"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18" xfId="570" applyNumberFormat="1" applyFont="1" applyFill="1" applyBorder="1" applyAlignment="1">
      <alignment horizontal="center" vertical="center" wrapText="1"/>
    </xf>
    <xf numFmtId="16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66" fontId="25" fillId="33" borderId="17" xfId="570" applyNumberFormat="1" applyFont="1" applyFill="1" applyBorder="1" applyAlignment="1">
      <alignment horizontal="center" vertical="top" wrapText="1"/>
    </xf>
    <xf numFmtId="16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165" fontId="14" fillId="33" borderId="32" xfId="0" applyNumberFormat="1" applyFont="1" applyFill="1" applyBorder="1" applyAlignment="1" applyProtection="1">
      <alignment horizontal="center" wrapText="1"/>
      <protection locked="0"/>
    </xf>
    <xf numFmtId="16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14" fillId="33" borderId="25" xfId="0" applyFont="1" applyFill="1" applyBorder="1" applyAlignment="1" applyProtection="1">
      <alignment horizontal="left" wrapText="1"/>
      <protection hidden="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23" fillId="0" borderId="25" xfId="487" applyFont="1" applyFill="1" applyBorder="1" applyAlignment="1" applyProtection="1">
      <alignment horizontal="center"/>
      <protection hidden="1"/>
    </xf>
    <xf numFmtId="0" fontId="21" fillId="0" borderId="25"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9"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abSelected="1"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4.5">
      <c r="A13" s="280"/>
      <c r="B13" s="277" t="s">
        <v>15486</v>
      </c>
      <c r="C13" s="275" t="s">
        <v>15487</v>
      </c>
      <c r="D13" s="278">
        <v>46253</v>
      </c>
      <c r="E13" s="276" t="s">
        <v>15488</v>
      </c>
      <c r="F13" s="279" t="s">
        <v>15489</v>
      </c>
      <c r="G13" s="24"/>
    </row>
    <row r="14" spans="1:7" ht="14" thickBot="1">
      <c r="A14" s="281"/>
      <c r="B14" s="282" t="str">
        <f ca="1">OFFSET(L!$C$1,MATCH("General"&amp;"Cpy",L!$A:$A,0)-1,SL,,)</f>
        <v>© 2026, All rights reserved.</v>
      </c>
      <c r="C14" s="282"/>
      <c r="D14" s="282"/>
      <c r="E14" s="282"/>
      <c r="F14" s="282"/>
      <c r="G14" s="25"/>
    </row>
    <row r="15" spans="1:7" ht="14" thickTop="1"/>
  </sheetData>
  <sheetProtection algorithmName="SHA-512" hashValue="qn4vr8N9LW4UWOjB6wl83J6zMMtZfcwXzrTBo5iCBVOJeWD19w/8SYEVlE2YN6ZtbAlOPOBpXg26Ih7NlFizsw==" saltValue="Ldvwg/P9WrsTrpoZD3pt7w=="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2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6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5"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5"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5" thickBot="1">
      <c r="A77" s="136" t="s">
        <v>15666</v>
      </c>
    </row>
  </sheetData>
  <sheetProtection algorithmName="SHA-512" hashValue="LB5xaNds07De+Zs84wxaEk1DgrEBOwevyTyDasFzz9IQesrAlj0lRRLI7RGfLZinXjc6Ygx9R5yvNLDX6GbOCw==" saltValue="ZrXpmVv85iw080oX/neMJw=="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4"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60">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3"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4" thickBot="1">
      <c r="A29" s="72"/>
      <c r="B29" s="146"/>
      <c r="C29" s="146"/>
      <c r="D29" s="291"/>
    </row>
    <row r="30" spans="1:5" ht="14" thickTop="1"/>
  </sheetData>
  <sheetProtection algorithmName="SHA-512" hashValue="kzRMDjWrSL/GdpX3XKa34vjvzEBHTwEz5v27F82KcMo7/330C6yJfJdV/yB6h1cePRKqwouqH/d7QxuAeqo8cQ==" saltValue="nHmm3JKK+1t+bTqwpAiGhQ=="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0"/>
      <c r="B1" s="311"/>
      <c r="C1" s="311"/>
      <c r="D1" s="311"/>
      <c r="E1" s="311"/>
      <c r="F1" s="311"/>
      <c r="G1" s="311"/>
      <c r="H1" s="311"/>
      <c r="I1" s="311"/>
      <c r="J1" s="311"/>
      <c r="K1" s="312"/>
      <c r="L1" s="97"/>
      <c r="P1" s="2"/>
      <c r="Q1" s="2"/>
      <c r="R1" s="2"/>
      <c r="S1" s="2"/>
      <c r="T1" s="2"/>
      <c r="U1" s="2"/>
      <c r="V1" s="2"/>
      <c r="W1" s="2"/>
      <c r="X1" s="2"/>
      <c r="Y1" s="2"/>
      <c r="Z1" s="2"/>
      <c r="AA1" s="2"/>
      <c r="AB1" s="2"/>
      <c r="AC1" s="2"/>
      <c r="AD1" s="2"/>
      <c r="AE1" s="2"/>
      <c r="AF1" s="2"/>
      <c r="AG1" s="2"/>
      <c r="AH1" s="2"/>
    </row>
    <row r="2" spans="1:34" ht="82.4" customHeight="1">
      <c r="A2" s="31"/>
      <c r="B2" s="133"/>
      <c r="C2" s="32"/>
      <c r="D2" s="313" t="str">
        <f ca="1">OFFSET(L!$C$1,MATCH("Declaration"&amp;ADDRESS(ROW(),COLUMN(),4),L!$A:$A,0)-1,SL,,)</f>
        <v>Conflict Minerals Reporting Template (CMRT)</v>
      </c>
      <c r="E2" s="314"/>
      <c r="F2" s="314"/>
      <c r="G2" s="314"/>
      <c r="H2" s="314"/>
      <c r="I2" s="314"/>
      <c r="J2" s="31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26"/>
      <c r="G3" s="326"/>
      <c r="H3" s="326"/>
      <c r="I3" s="145"/>
      <c r="J3" s="135" t="s">
        <v>15667</v>
      </c>
      <c r="K3" s="33"/>
      <c r="L3" s="97"/>
      <c r="P3" s="42">
        <f>MATCH($D$3,LN,0)</f>
        <v>1</v>
      </c>
    </row>
    <row r="4" spans="1:34" ht="15">
      <c r="A4" s="31"/>
      <c r="B4" s="322" t="str">
        <f ca="1">OFFSET(L!$C$1,MATCH("Declaration"&amp;ADDRESS(ROW(),COLUMN(),4),L!$A:$A,0)-1,SL,,)</f>
        <v>The purpose of this document is to collect sourcing information on tin, tantalum, tungsten and gold used in products</v>
      </c>
      <c r="C4" s="322"/>
      <c r="D4" s="322"/>
      <c r="E4" s="322"/>
      <c r="F4" s="322"/>
      <c r="G4" s="322"/>
      <c r="H4" s="322"/>
      <c r="I4" s="327" t="str">
        <f ca="1">OFFSET(L!$C$1,MATCH("Declaration"&amp;ADDRESS(ROW(),COLUMN(),4),L!$A:$A,0)-1,SL,,)</f>
        <v>Link to Terms &amp; Conditions</v>
      </c>
      <c r="J4" s="327"/>
      <c r="K4" s="33"/>
      <c r="L4" s="112"/>
      <c r="P4" s="2"/>
      <c r="Q4" s="2"/>
      <c r="R4" s="2"/>
      <c r="S4" s="2"/>
      <c r="T4" s="2"/>
      <c r="U4" s="2"/>
      <c r="V4" s="2"/>
      <c r="W4" s="2"/>
      <c r="X4" s="2"/>
      <c r="Y4" s="2"/>
      <c r="Z4" s="2"/>
      <c r="AA4" s="2"/>
      <c r="AB4" s="2"/>
      <c r="AC4" s="2"/>
      <c r="AD4" s="2"/>
      <c r="AE4" s="2"/>
      <c r="AF4" s="2"/>
      <c r="AG4" s="2"/>
      <c r="AH4" s="2"/>
    </row>
    <row r="5" spans="1:34" ht="15">
      <c r="A5" s="131" t="str">
        <f>LEFT(D9,1)</f>
        <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2" t="str">
        <f ca="1">OFFSET(L!$C$1,MATCH("Declaration"&amp;ADDRESS(ROW(),COLUMN(),4),L!$A:$A,0)-1,SL,,)</f>
        <v>Mandatory fields are noted with an asterisk (*).  Consult the instructions tab for guidance on how to answer each question.</v>
      </c>
      <c r="C6" s="322"/>
      <c r="D6" s="322"/>
      <c r="E6" s="322"/>
      <c r="F6" s="322"/>
      <c r="G6" s="322"/>
      <c r="H6" s="322"/>
      <c r="I6" s="322"/>
      <c r="J6" s="322"/>
      <c r="K6" s="33"/>
      <c r="L6" s="112" t="s">
        <v>410</v>
      </c>
      <c r="P6" s="2"/>
      <c r="Q6" s="2"/>
      <c r="R6" s="2"/>
      <c r="S6" s="2"/>
      <c r="T6" s="2"/>
      <c r="U6" s="2"/>
      <c r="V6" s="2"/>
      <c r="W6" s="2"/>
      <c r="X6" s="2"/>
      <c r="Y6" s="2"/>
      <c r="Z6" s="2"/>
      <c r="AA6" s="2"/>
      <c r="AB6" s="2"/>
      <c r="AC6" s="2"/>
      <c r="AD6" s="2"/>
      <c r="AE6" s="2"/>
      <c r="AF6" s="2"/>
      <c r="AG6" s="2"/>
      <c r="AH6" s="2"/>
    </row>
    <row r="7" spans="1:34" ht="37" customHeight="1">
      <c r="A7" s="31"/>
      <c r="B7" s="331" t="str">
        <f ca="1">OFFSET(L!$C$1,MATCH("Declaration"&amp;ADDRESS(ROW(),COLUMN(),4),L!$A:$A,0)-1,SL,,)</f>
        <v>Company Information</v>
      </c>
      <c r="C7" s="331"/>
      <c r="D7" s="331"/>
      <c r="E7" s="331"/>
      <c r="F7" s="331"/>
      <c r="G7" s="331"/>
      <c r="H7" s="331"/>
      <c r="I7" s="331"/>
      <c r="J7" s="331"/>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16"/>
      <c r="E8" s="317"/>
      <c r="F8" s="317"/>
      <c r="G8" s="317"/>
      <c r="H8" s="317"/>
      <c r="I8" s="317"/>
      <c r="J8" s="318"/>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28"/>
      <c r="E9" s="329"/>
      <c r="F9" s="329"/>
      <c r="G9" s="330"/>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5" customHeight="1">
      <c r="A10" s="35"/>
      <c r="B10" s="332" t="str">
        <f ca="1">OFFSET(L!$C$1,MATCH("Declaration"&amp;ADDRESS(ROW(),COLUMN(),4)&amp;LEFT($D$9,1),L!$A:$A,0)-1,SL,,)</f>
        <v>Description of Scope:</v>
      </c>
      <c r="C10" s="119"/>
      <c r="D10" s="323"/>
      <c r="E10" s="324"/>
      <c r="F10" s="324"/>
      <c r="G10" s="324"/>
      <c r="H10" s="324"/>
      <c r="I10" s="324"/>
      <c r="J10" s="325"/>
      <c r="K10" s="33"/>
      <c r="L10" s="112"/>
      <c r="Q10" s="2"/>
      <c r="R10" s="2"/>
      <c r="S10" s="2"/>
      <c r="T10" s="2"/>
      <c r="U10" s="2"/>
      <c r="V10" s="2"/>
      <c r="W10" s="2"/>
      <c r="X10" s="2"/>
      <c r="Y10" s="2"/>
      <c r="Z10" s="2"/>
      <c r="AA10" s="2"/>
      <c r="AB10" s="2"/>
      <c r="AC10" s="2"/>
      <c r="AD10" s="2"/>
      <c r="AE10" s="2"/>
      <c r="AF10" s="2"/>
      <c r="AG10" s="2"/>
      <c r="AH10" s="2"/>
    </row>
    <row r="11" spans="1:34" ht="15">
      <c r="A11" s="35"/>
      <c r="B11" s="333"/>
      <c r="C11" s="119"/>
      <c r="D11" s="339" t="str">
        <f ca="1">IF(D9=Q9,OFFSET(L!$C$1,MATCH("Declaration"&amp;ADDRESS(ROW(),COLUMN(),4),L!$A:$A,0)-1,SL,,),"")</f>
        <v/>
      </c>
      <c r="E11" s="340"/>
      <c r="F11" s="340"/>
      <c r="G11" s="340"/>
      <c r="H11" s="340"/>
      <c r="I11" s="340"/>
      <c r="J11" s="341"/>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19"/>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19"/>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19"/>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19"/>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4"/>
      <c r="E16" s="335"/>
      <c r="F16" s="335"/>
      <c r="G16" s="335"/>
      <c r="H16" s="335"/>
      <c r="I16" s="335"/>
      <c r="J16" s="336"/>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19"/>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2"/>
      <c r="E18" s="353"/>
      <c r="F18" s="353"/>
      <c r="G18" s="353"/>
      <c r="H18" s="353"/>
      <c r="I18" s="353"/>
      <c r="J18" s="354"/>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19"/>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4"/>
      <c r="E20" s="335"/>
      <c r="F20" s="335"/>
      <c r="G20" s="335"/>
      <c r="H20" s="335"/>
      <c r="I20" s="335"/>
      <c r="J20" s="336"/>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2"/>
      <c r="E21" s="293"/>
      <c r="F21" s="293"/>
      <c r="G21" s="293"/>
      <c r="H21" s="293"/>
      <c r="I21" s="293"/>
      <c r="J21" s="29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297"/>
      <c r="E22" s="29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4"/>
      <c r="E23" s="34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299" t="str">
        <f ca="1">OFFSET(L!$C$1,MATCH("Declaration"&amp;ADDRESS(ROW(),COLUMN(),4),L!$A:$A,0)-1,SL,,)</f>
        <v>Answer the following questions 1 - 8 based on the declaration scope indicated above</v>
      </c>
      <c r="C24" s="299"/>
      <c r="D24" s="299"/>
      <c r="E24" s="299"/>
      <c r="F24" s="299"/>
      <c r="G24" s="299"/>
      <c r="H24" s="299"/>
      <c r="I24" s="299"/>
      <c r="J24" s="299"/>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6" t="str">
        <f ca="1">OFFSET(L!$C$1,MATCH("Declaration"&amp;ADDRESS(ROW(),COLUMN(),4),L!$A:$A,0)-1,SL,,)</f>
        <v>Answer</v>
      </c>
      <c r="E25" s="306"/>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5"/>
      <c r="E26" s="296"/>
      <c r="F26" s="11"/>
      <c r="G26" s="303"/>
      <c r="H26" s="304"/>
      <c r="I26" s="304"/>
      <c r="J26" s="305"/>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5"/>
      <c r="E27" s="296"/>
      <c r="F27" s="11"/>
      <c r="G27" s="303"/>
      <c r="H27" s="304"/>
      <c r="I27" s="304"/>
      <c r="J27" s="305"/>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5"/>
      <c r="E28" s="296"/>
      <c r="F28" s="11"/>
      <c r="G28" s="303"/>
      <c r="H28" s="304"/>
      <c r="I28" s="304"/>
      <c r="J28" s="305"/>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5"/>
      <c r="E29" s="296"/>
      <c r="F29" s="11"/>
      <c r="G29" s="303"/>
      <c r="H29" s="304"/>
      <c r="I29" s="304"/>
      <c r="J29" s="305"/>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0" t="str">
        <f ca="1">D25</f>
        <v>Answer</v>
      </c>
      <c r="E31" s="300"/>
      <c r="F31" s="17"/>
      <c r="G31" s="41" t="str">
        <f ca="1">G25</f>
        <v>Comments</v>
      </c>
      <c r="H31" s="41"/>
      <c r="I31" s="41"/>
      <c r="J31" s="80"/>
      <c r="K31" s="33"/>
      <c r="L31" s="108" t="s">
        <v>1149</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01"/>
      <c r="E32" s="302"/>
      <c r="F32" s="44"/>
      <c r="G32" s="303"/>
      <c r="H32" s="304"/>
      <c r="I32" s="304"/>
      <c r="J32" s="305"/>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5"/>
      <c r="E33" s="296"/>
      <c r="F33" s="44"/>
      <c r="G33" s="303"/>
      <c r="H33" s="304"/>
      <c r="I33" s="304"/>
      <c r="J33" s="305"/>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5"/>
      <c r="E34" s="296"/>
      <c r="F34" s="44"/>
      <c r="G34" s="303"/>
      <c r="H34" s="304"/>
      <c r="I34" s="304"/>
      <c r="J34" s="305"/>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5"/>
      <c r="E35" s="296"/>
      <c r="F35" s="44"/>
      <c r="G35" s="303"/>
      <c r="H35" s="304"/>
      <c r="I35" s="304"/>
      <c r="J35" s="305"/>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0" t="str">
        <f ca="1">D25</f>
        <v>Answer</v>
      </c>
      <c r="E37" s="300"/>
      <c r="F37" s="17"/>
      <c r="G37" s="41" t="str">
        <f ca="1">G25</f>
        <v>Comments</v>
      </c>
      <c r="H37" s="343"/>
      <c r="I37" s="343"/>
      <c r="J37" s="343"/>
      <c r="K37" s="33"/>
      <c r="L37" s="108" t="s">
        <v>1149</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5"/>
      <c r="E38" s="296"/>
      <c r="F38" s="44"/>
      <c r="G38" s="303"/>
      <c r="H38" s="304"/>
      <c r="I38" s="304"/>
      <c r="J38" s="305"/>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5"/>
      <c r="E39" s="296"/>
      <c r="F39" s="44"/>
      <c r="G39" s="303"/>
      <c r="H39" s="304"/>
      <c r="I39" s="304"/>
      <c r="J39" s="305"/>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5"/>
      <c r="E40" s="296"/>
      <c r="F40" s="44"/>
      <c r="G40" s="303"/>
      <c r="H40" s="304"/>
      <c r="I40" s="304"/>
      <c r="J40" s="305"/>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5"/>
      <c r="E41" s="296"/>
      <c r="F41" s="44"/>
      <c r="G41" s="303"/>
      <c r="H41" s="304"/>
      <c r="I41" s="304"/>
      <c r="J41" s="305"/>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0" t="str">
        <f ca="1">D25</f>
        <v>Answer</v>
      </c>
      <c r="E43" s="300"/>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5"/>
      <c r="E44" s="296"/>
      <c r="F44" s="44"/>
      <c r="G44" s="303"/>
      <c r="H44" s="304"/>
      <c r="I44" s="304"/>
      <c r="J44" s="305"/>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5"/>
      <c r="E45" s="296"/>
      <c r="F45" s="44"/>
      <c r="G45" s="303"/>
      <c r="H45" s="304"/>
      <c r="I45" s="304"/>
      <c r="J45" s="305"/>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5"/>
      <c r="E46" s="296"/>
      <c r="F46" s="44"/>
      <c r="G46" s="303"/>
      <c r="H46" s="304"/>
      <c r="I46" s="304"/>
      <c r="J46" s="305"/>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5"/>
      <c r="E47" s="296"/>
      <c r="F47" s="44"/>
      <c r="G47" s="303"/>
      <c r="H47" s="304"/>
      <c r="I47" s="304"/>
      <c r="J47" s="305"/>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0" t="str">
        <f ca="1">D25</f>
        <v>Answer</v>
      </c>
      <c r="E49" s="300"/>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5"/>
      <c r="E50" s="296"/>
      <c r="F50" s="44"/>
      <c r="G50" s="303"/>
      <c r="H50" s="304"/>
      <c r="I50" s="304"/>
      <c r="J50" s="305"/>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5"/>
      <c r="E51" s="296"/>
      <c r="F51" s="44"/>
      <c r="G51" s="303"/>
      <c r="H51" s="304"/>
      <c r="I51" s="304"/>
      <c r="J51" s="305"/>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5"/>
      <c r="E52" s="296"/>
      <c r="F52" s="44"/>
      <c r="G52" s="303"/>
      <c r="H52" s="304"/>
      <c r="I52" s="304"/>
      <c r="J52" s="305"/>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5"/>
      <c r="E53" s="296"/>
      <c r="F53" s="44"/>
      <c r="G53" s="303"/>
      <c r="H53" s="304"/>
      <c r="I53" s="304"/>
      <c r="J53" s="305"/>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0" t="str">
        <f ca="1">D25</f>
        <v>Answer</v>
      </c>
      <c r="E55" s="300"/>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37"/>
      <c r="E56" s="338"/>
      <c r="F56" s="44"/>
      <c r="G56" s="303"/>
      <c r="H56" s="304"/>
      <c r="I56" s="304"/>
      <c r="J56" s="305"/>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37"/>
      <c r="E57" s="338"/>
      <c r="F57" s="44"/>
      <c r="G57" s="303"/>
      <c r="H57" s="304"/>
      <c r="I57" s="304"/>
      <c r="J57" s="305"/>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37"/>
      <c r="E58" s="338"/>
      <c r="F58" s="44"/>
      <c r="G58" s="303"/>
      <c r="H58" s="304"/>
      <c r="I58" s="304"/>
      <c r="J58" s="305"/>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37"/>
      <c r="E59" s="338"/>
      <c r="F59" s="44"/>
      <c r="G59" s="303"/>
      <c r="H59" s="304"/>
      <c r="I59" s="304"/>
      <c r="J59" s="305"/>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0" t="str">
        <f ca="1">D25</f>
        <v>Answer</v>
      </c>
      <c r="E61" s="300"/>
      <c r="F61" s="17"/>
      <c r="G61" s="41" t="str">
        <f ca="1">G25</f>
        <v>Comments</v>
      </c>
      <c r="H61" s="342"/>
      <c r="I61" s="342"/>
      <c r="J61" s="342"/>
      <c r="K61" s="33"/>
      <c r="L61" s="108" t="s">
        <v>1147</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01"/>
      <c r="E62" s="302"/>
      <c r="F62" s="44"/>
      <c r="G62" s="303"/>
      <c r="H62" s="304"/>
      <c r="I62" s="304"/>
      <c r="J62" s="305"/>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5"/>
      <c r="E63" s="296"/>
      <c r="F63" s="44"/>
      <c r="G63" s="303"/>
      <c r="H63" s="304"/>
      <c r="I63" s="304"/>
      <c r="J63" s="305"/>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5"/>
      <c r="E64" s="296"/>
      <c r="F64" s="44"/>
      <c r="G64" s="303"/>
      <c r="H64" s="304"/>
      <c r="I64" s="304"/>
      <c r="J64" s="305"/>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5"/>
      <c r="E65" s="296"/>
      <c r="F65" s="44"/>
      <c r="G65" s="303"/>
      <c r="H65" s="304"/>
      <c r="I65" s="304"/>
      <c r="J65" s="305"/>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0" t="str">
        <f ca="1">D25</f>
        <v>Answer</v>
      </c>
      <c r="E67" s="300"/>
      <c r="F67" s="17"/>
      <c r="G67" s="41" t="str">
        <f ca="1">G25</f>
        <v>Comments</v>
      </c>
      <c r="H67" s="342" t="str">
        <f>IF(Q75="(*)","Click here to enter smelter names","")</f>
        <v/>
      </c>
      <c r="I67" s="342"/>
      <c r="J67" s="342"/>
      <c r="K67" s="33"/>
      <c r="L67" s="108" t="s">
        <v>1147</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5"/>
      <c r="E68" s="296"/>
      <c r="F68" s="45"/>
      <c r="G68" s="303"/>
      <c r="H68" s="304"/>
      <c r="I68" s="304"/>
      <c r="J68" s="305"/>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5"/>
      <c r="E69" s="296"/>
      <c r="F69" s="45"/>
      <c r="G69" s="303"/>
      <c r="H69" s="304"/>
      <c r="I69" s="304"/>
      <c r="J69" s="305"/>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5"/>
      <c r="E70" s="296"/>
      <c r="F70" s="45"/>
      <c r="G70" s="303"/>
      <c r="H70" s="304"/>
      <c r="I70" s="304"/>
      <c r="J70" s="305"/>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5"/>
      <c r="E71" s="296"/>
      <c r="F71" s="47"/>
      <c r="G71" s="303"/>
      <c r="H71" s="304"/>
      <c r="I71" s="304"/>
      <c r="J71" s="305"/>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5" t="str">
        <f ca="1">OFFSET(L!$C$1,MATCH("Declaration"&amp;ADDRESS(ROW(),COLUMN(),4),L!$A:$A,0)-1,SL,,)</f>
        <v>Answer the Following Questions at a Company Level</v>
      </c>
      <c r="C73" s="355"/>
      <c r="D73" s="355"/>
      <c r="E73" s="355"/>
      <c r="F73" s="355"/>
      <c r="G73" s="355"/>
      <c r="H73" s="355"/>
      <c r="I73" s="355"/>
      <c r="J73" s="355"/>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6" t="str">
        <f ca="1">D25</f>
        <v>Answer</v>
      </c>
      <c r="E74" s="306"/>
      <c r="F74" s="50"/>
      <c r="G74" s="306" t="str">
        <f ca="1">G25</f>
        <v>Comments</v>
      </c>
      <c r="H74" s="306" t="e">
        <f>HLOOKUP(SL,LT,$O74,0)</f>
        <v>#NAME?</v>
      </c>
      <c r="I74" s="30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c r="E75" s="296"/>
      <c r="F75" s="54"/>
      <c r="G75" s="303"/>
      <c r="H75" s="304"/>
      <c r="I75" s="304"/>
      <c r="J75" s="305"/>
      <c r="K75" s="33"/>
      <c r="L75" s="110" t="s">
        <v>1148</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50"/>
      <c r="H76" s="350"/>
      <c r="I76" s="350"/>
      <c r="J76" s="350"/>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c r="E77" s="296"/>
      <c r="F77" s="54"/>
      <c r="G77" s="307"/>
      <c r="H77" s="308"/>
      <c r="I77" s="308"/>
      <c r="J77" s="309"/>
      <c r="K77" s="33"/>
      <c r="L77" s="110" t="s">
        <v>1149</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c r="E79" s="296"/>
      <c r="F79" s="54"/>
      <c r="G79" s="303"/>
      <c r="H79" s="304"/>
      <c r="I79" s="304"/>
      <c r="J79" s="305"/>
      <c r="K79" s="33"/>
      <c r="L79" s="110" t="s">
        <v>1149</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c r="E81" s="296"/>
      <c r="F81" s="54"/>
      <c r="G81" s="303"/>
      <c r="H81" s="304"/>
      <c r="I81" s="304"/>
      <c r="J81" s="305"/>
      <c r="K81" s="33"/>
      <c r="L81" s="110" t="s">
        <v>1208</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c r="E83" s="296"/>
      <c r="F83" s="54"/>
      <c r="G83" s="303"/>
      <c r="H83" s="304"/>
      <c r="I83" s="304"/>
      <c r="J83" s="305"/>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8"/>
      <c r="E85" s="349"/>
      <c r="F85" s="54"/>
      <c r="G85" s="303"/>
      <c r="H85" s="304"/>
      <c r="I85" s="304"/>
      <c r="J85" s="305"/>
      <c r="K85" s="33"/>
      <c r="L85" s="110" t="s">
        <v>1149</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50"/>
      <c r="H86" s="350"/>
      <c r="I86" s="350"/>
      <c r="J86" s="350"/>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5"/>
      <c r="E87" s="296"/>
      <c r="F87" s="54"/>
      <c r="G87" s="303"/>
      <c r="H87" s="304"/>
      <c r="I87" s="304"/>
      <c r="J87" s="305"/>
      <c r="K87" s="33"/>
      <c r="L87" s="110" t="s">
        <v>1147</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1"/>
      <c r="H88" s="351"/>
      <c r="I88" s="351"/>
      <c r="J88" s="351"/>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5"/>
      <c r="E89" s="296"/>
      <c r="F89" s="54"/>
      <c r="G89" s="303"/>
      <c r="H89" s="304"/>
      <c r="I89" s="304"/>
      <c r="J89" s="305"/>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47" t="str">
        <f>IF(OR($D$8="",$I$3=""),"","Click here to check required fields completion")</f>
        <v/>
      </c>
      <c r="C90" s="347"/>
      <c r="D90" s="347"/>
      <c r="E90" s="347"/>
      <c r="F90" s="347"/>
      <c r="G90" s="347"/>
      <c r="H90" s="347"/>
      <c r="I90" s="347"/>
      <c r="J90" s="347"/>
      <c r="K90" s="33"/>
      <c r="L90" s="97"/>
      <c r="P90" s="2"/>
      <c r="Q90" s="2"/>
      <c r="R90" s="2"/>
      <c r="S90" s="2"/>
      <c r="T90" s="2"/>
      <c r="U90" s="2"/>
      <c r="V90" s="2"/>
      <c r="W90" s="2"/>
      <c r="X90" s="2"/>
      <c r="Y90" s="2"/>
      <c r="Z90" s="2"/>
      <c r="AA90" s="2"/>
      <c r="AB90" s="2"/>
      <c r="AC90" s="2"/>
      <c r="AD90" s="2"/>
      <c r="AE90" s="2"/>
      <c r="AF90" s="2"/>
      <c r="AG90" s="2"/>
      <c r="AH90" s="2"/>
    </row>
    <row r="91" spans="1:34" ht="15.5" thickBot="1">
      <c r="A91" s="345" t="str">
        <f ca="1">OFFSET(L!$C$1,MATCH("General"&amp;"Cpy",L!$A:$A,0)-1,SL,,)</f>
        <v>© 2026, All rights reserved.</v>
      </c>
      <c r="B91" s="346"/>
      <c r="C91" s="346"/>
      <c r="D91" s="346"/>
      <c r="E91" s="346"/>
      <c r="F91" s="346"/>
      <c r="G91" s="346"/>
      <c r="H91" s="346"/>
      <c r="I91" s="346"/>
      <c r="J91" s="346"/>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Yes</v>
      </c>
      <c r="E96" s="264" t="str">
        <f>IF(AND(OR($D$26="Yes",$D$26=""),OR($D$32="Yes",$D$32="")),"100%","")</f>
        <v>100%</v>
      </c>
      <c r="G96" s="264" t="str">
        <f>IF(OR($D$26="Yes",$D$26=""),"Yes","")</f>
        <v>Yes</v>
      </c>
    </row>
    <row r="97" spans="2:7" ht="13.5" hidden="1" customHeight="1">
      <c r="B97" s="53" t="s">
        <v>452</v>
      </c>
      <c r="D97" s="264" t="str">
        <f>IF(AND(OR($D$26="Yes",$D$26=""),OR($D$32="Yes",$D$32="")),"No","")</f>
        <v>No</v>
      </c>
      <c r="E97" s="264" t="str">
        <f>IF(AND(OR($D$26="Yes",$D$26=""),OR($D$32="Yes",$D$32="")),"Greater than 90%","")</f>
        <v>Greater than 90%</v>
      </c>
      <c r="G97" s="264" t="str">
        <f>IF(OR($D$26="Yes",$D$26=""),"No","")</f>
        <v>No</v>
      </c>
    </row>
    <row r="98" spans="2:7" ht="15" hidden="1">
      <c r="B98" s="53" t="s">
        <v>453</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2290</v>
      </c>
      <c r="D100" s="264" t="str">
        <f>IF(AND(OR($D$27="Yes",$D$27=""),OR($D$33="Yes",$D$33="")),"No","")</f>
        <v>No</v>
      </c>
      <c r="E100" s="264" t="str">
        <f>IF(AND(OR($D$26="Yes",$D$26=""),OR($D$32="Yes",$D$32="")),"50% or less","")</f>
        <v>50% or less</v>
      </c>
      <c r="G100" s="264" t="str">
        <f>IF(OR($D$28="Yes",$D$28=""),"Yes","")</f>
        <v>Yes</v>
      </c>
    </row>
    <row r="101" spans="2:7" ht="15" hidden="1">
      <c r="B101" s="219" t="s">
        <v>2291</v>
      </c>
      <c r="D101" s="264" t="str">
        <f>IF(AND(OR($D$27="Yes",$D$27=""),OR($D$33="Yes",$D$33="")),"Unknown","")</f>
        <v>Unknown</v>
      </c>
      <c r="E101" s="264" t="str">
        <f>IF(AND(OR($D$26="Yes",$D$26=""),OR($D$32="Yes",$D$32="")),"None","")</f>
        <v>None</v>
      </c>
      <c r="G101" s="264" t="str">
        <f>IF(OR($D$28="Yes",$D$28=""),"No","")</f>
        <v>No</v>
      </c>
    </row>
    <row r="102" spans="2:7" ht="15" hidden="1">
      <c r="B102" s="219" t="s">
        <v>2292</v>
      </c>
      <c r="D102" s="264" t="str">
        <f>IF(AND(OR($D$28="Yes",$D$28=""),OR($D$34="Yes",$D$34="")),"Yes","")</f>
        <v>Yes</v>
      </c>
      <c r="E102" s="264" t="str">
        <f>IF(AND(OR($D$27="Yes",$D$27=""),OR($D$33="Yes",$D$33="")),"100%","")</f>
        <v>100%</v>
      </c>
      <c r="G102" s="264" t="str">
        <f>IF(OR($D$29="Yes",$D$29=""),"Yes","")</f>
        <v>Yes</v>
      </c>
    </row>
    <row r="103" spans="2:7" ht="15" hidden="1">
      <c r="B103" s="219" t="s">
        <v>2293</v>
      </c>
      <c r="D103" s="264" t="str">
        <f>IF(AND(OR($D$28="Yes",$D$28=""),OR($D$34="Yes",$D$34="")),"No","")</f>
        <v>No</v>
      </c>
      <c r="E103" s="264" t="str">
        <f>IF(AND(OR($D$27="Yes",$D$27=""),OR($D$33="Yes",$D$33="")),"Greater than 90%","")</f>
        <v>Greater than 90%</v>
      </c>
      <c r="G103" s="264" t="str">
        <f>IF(OR($D$29="Yes",$D$29=""),"No","")</f>
        <v>No</v>
      </c>
    </row>
    <row r="104" spans="2:7" ht="15" hidden="1">
      <c r="B104" s="219" t="s">
        <v>454</v>
      </c>
      <c r="D104" s="264" t="str">
        <f>IF(AND(OR($D$28="Yes",$D$28=""),OR($D$34="Yes",$D$34="")),"Unknown","")</f>
        <v>Unknown</v>
      </c>
      <c r="E104" s="264" t="str">
        <f>IF(AND(OR($D$27="Yes",$D$27=""),OR($D$33="Yes",$D$33="")),"Greater than 75%","")</f>
        <v>Greater than 75%</v>
      </c>
    </row>
    <row r="105" spans="2:7" ht="15" hidden="1">
      <c r="B105" s="219" t="s">
        <v>14150</v>
      </c>
      <c r="D105" s="264" t="str">
        <f>IF(AND(OR($D$29="Yes",$D$29=""),OR($D$35="Yes",$D$35="")),"Yes","")</f>
        <v>Yes</v>
      </c>
      <c r="E105" s="264" t="str">
        <f>IF(AND(OR($D$27="Yes",$D$27=""),OR($D$33="Yes",$D$33="")),"Greater than 50%","")</f>
        <v>Greater than 50%</v>
      </c>
    </row>
    <row r="106" spans="2:7" ht="15" hidden="1">
      <c r="B106" s="219" t="s">
        <v>11869</v>
      </c>
      <c r="D106" s="264" t="str">
        <f>IF(AND(OR($D$29="Yes",$D$29=""),OR($D$35="Yes",$D$35="")),"No","")</f>
        <v>No</v>
      </c>
      <c r="E106" s="264" t="str">
        <f>IF(AND(OR($D$27="Yes",$D$27=""),OR($D$33="Yes",$D$33="")),"50% or less","")</f>
        <v>50% or less</v>
      </c>
    </row>
    <row r="107" spans="2:7" ht="15" hidden="1">
      <c r="B107" s="219" t="s">
        <v>452</v>
      </c>
      <c r="D107" s="264" t="str">
        <f>IF(AND(OR($D$29="Yes",$D$29=""),OR($D$35="Yes",$D$35="")),"Unknown","")</f>
        <v>Unknown</v>
      </c>
      <c r="E107" s="264" t="str">
        <f>IF(AND(OR($D$27="Yes",$D$27=""),OR($D$33="Yes",$D$33="")),"None","")</f>
        <v>None</v>
      </c>
    </row>
    <row r="108" spans="2:7" ht="15" hidden="1">
      <c r="B108" s="219" t="s">
        <v>13268</v>
      </c>
      <c r="E108" s="264" t="str">
        <f>IF(AND(OR($D$28="Yes",$D$28=""),OR($D$34="Yes",$D$34="")),"100%","")</f>
        <v>100%</v>
      </c>
    </row>
    <row r="109" spans="2:7" ht="15" hidden="1">
      <c r="B109" s="219" t="s">
        <v>13270</v>
      </c>
      <c r="E109" s="264" t="str">
        <f>IF(AND(OR($D$28="Yes",$D$28=""),OR($D$34="Yes",$D$34="")),"Greater than 90%","")</f>
        <v>Greater than 90%</v>
      </c>
    </row>
    <row r="110" spans="2:7" ht="15" hidden="1">
      <c r="B110" s="219" t="s">
        <v>13271</v>
      </c>
      <c r="E110" s="264" t="str">
        <f>IF(AND(OR($D$28="Yes",$D$28=""),OR($D$34="Yes",$D$34="")),"Greater than 75%","")</f>
        <v>Greater than 75%</v>
      </c>
    </row>
    <row r="111" spans="2:7" ht="15" hidden="1">
      <c r="B111" s="219" t="s">
        <v>452</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aa6AvubDwiwt4DauQP7bvtkQ3P9ejsRLQSoCTzWKjUw5w6HQpNrgzUb4re2XrHPtssCXgN0KgQnh04beetP1oQ==" saltValue="CCdbaBsozIwjKVhwtDvDSg=="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49999999999999"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49999999999999"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49999999999999"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49999999999999"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49999999999999"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49999999999999"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49999999999999"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49999999999999"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49999999999999"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49999999999999"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49999999999999"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49999999999999"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49999999999999"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49999999999999"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algorithmName="SHA-512" hashValue="CARw3vH1Z5iL1O4xgq/9bOzuRmBzRWsrkz7f6YSdvIDtsEAb3zimZACyZkQEyBt9HysFULwZYbJk7qCKM1FCAg==" saltValue="hHy5zFqG1icFbI5yvuefr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3402E18-7DDC-4DE4-BC19-FF44E7D1278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Click here to return to Smelter List</v>
      </c>
      <c r="C2" s="118" t="str">
        <f>IF(F65=1,"Click here to return to Product List","")</f>
        <v>Click here to return to Product List</v>
      </c>
      <c r="D2" s="144">
        <f ca="1">IF(H70=0,"0",H70)</f>
        <v>52</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41">
      <c r="A4" s="87" t="str">
        <f ca="1">Declaration!B8</f>
        <v>Company Name (*):</v>
      </c>
      <c r="B4" s="86">
        <f>Declaration!D8</f>
        <v>0</v>
      </c>
      <c r="C4" s="86" t="str">
        <f t="shared" ref="C4" ca="1" si="0">IF(H4=1,J4,I4)</f>
        <v>Provide your company name on the Declaration tab cell D8</v>
      </c>
      <c r="D4" s="92" t="str">
        <f>IF(H4=1,"Click here to enter Company Name","")</f>
        <v>Click here to enter Company Name</v>
      </c>
      <c r="E4" s="19" t="s">
        <v>1213</v>
      </c>
      <c r="F4" s="90">
        <v>1</v>
      </c>
      <c r="G4" s="67">
        <f t="shared" ref="G4" si="1">IF(B4=0,1,0)</f>
        <v>1</v>
      </c>
      <c r="H4" s="68">
        <f>F4*G4</f>
        <v>1</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f>Declaration!D9</f>
        <v>0</v>
      </c>
      <c r="C5" s="86" t="str">
        <f ca="1">IF(H5=1,J5,I5)</f>
        <v>Select the scope of declaration on the Declaration tab cell D9</v>
      </c>
      <c r="D5" s="92" t="str">
        <f>IF(H5=1,"Click here to enter Declaration Scope","")</f>
        <v>Click here to enter Declaration Scope</v>
      </c>
      <c r="E5" s="19" t="s">
        <v>1213</v>
      </c>
      <c r="F5" s="90">
        <v>1</v>
      </c>
      <c r="G5" s="67">
        <f>IF(B5=0,1,0)</f>
        <v>1</v>
      </c>
      <c r="H5" s="68">
        <f t="shared" ref="H5" si="2">F5*G5</f>
        <v>1</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f>Declaration!D15</f>
        <v>0</v>
      </c>
      <c r="C7" s="86" t="str">
        <f ca="1">IF(H7=1,J7,I7)</f>
        <v>Provide contact name in Declaration tab cell D15</v>
      </c>
      <c r="D7" s="92" t="str">
        <f>IF(H7=1,"Click here to enter Contact Name","")</f>
        <v>Click here to enter Contact Name</v>
      </c>
      <c r="E7" s="19" t="s">
        <v>1213</v>
      </c>
      <c r="F7" s="90">
        <v>1</v>
      </c>
      <c r="G7" s="67">
        <f>IF(B7=0,1,0)</f>
        <v>1</v>
      </c>
      <c r="H7" s="68">
        <f t="shared" si="3"/>
        <v>1</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f>Declaration!D16</f>
        <v>0</v>
      </c>
      <c r="C8" s="86" t="str">
        <f ca="1">IF(H8=1,J8,I8)</f>
        <v>Provide a valid email for contact in Declaration tab cell D16</v>
      </c>
      <c r="D8" s="92" t="str">
        <f>IF(H8=1,"Click here to enter Email-Contact","")</f>
        <v>Click here to enter Email-Contact</v>
      </c>
      <c r="E8" s="19" t="s">
        <v>1213</v>
      </c>
      <c r="F8" s="90">
        <v>1</v>
      </c>
      <c r="G8" s="67">
        <f>IF(ISNUMBER(SEARCH("@",B8)),0,1)</f>
        <v>1</v>
      </c>
      <c r="H8" s="68">
        <f t="shared" si="3"/>
        <v>1</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f>Declaration!D17</f>
        <v>0</v>
      </c>
      <c r="C9" s="86" t="str">
        <f ca="1">IF(H9=1,J9,I9)</f>
        <v>Provide a phone number for contact in Declaration tab cell D17</v>
      </c>
      <c r="D9" s="92" t="str">
        <f>IF(H9=1,"Click here to enter Phone-Contact","")</f>
        <v>Click here to enter Phone-Contact</v>
      </c>
      <c r="E9" s="19" t="s">
        <v>1213</v>
      </c>
      <c r="F9" s="90">
        <v>1</v>
      </c>
      <c r="G9" s="67">
        <f>IF(B9=0,1,0)</f>
        <v>1</v>
      </c>
      <c r="H9" s="68">
        <f t="shared" si="3"/>
        <v>1</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f>Declaration!D18</f>
        <v>0</v>
      </c>
      <c r="C10" s="86" t="str">
        <f t="shared" ref="C10" ca="1" si="4">IF(H10=1,J10,I10)</f>
        <v>Provide authorized company representative contact name in Declaration tab cell D18</v>
      </c>
      <c r="D10" s="92" t="str">
        <f>IF(H10=1,"Click here to enter an Authorized Company Representative's name","")</f>
        <v>Click here to enter an Authorized Company Representative's name</v>
      </c>
      <c r="E10" s="19" t="s">
        <v>1213</v>
      </c>
      <c r="F10" s="90">
        <v>1</v>
      </c>
      <c r="G10" s="67">
        <f t="shared" ref="G10" si="5">IF(B10=0,1,0)</f>
        <v>1</v>
      </c>
      <c r="H10" s="68">
        <f t="shared" si="3"/>
        <v>1</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f>Declaration!D20</f>
        <v>0</v>
      </c>
      <c r="C11" s="86" t="str">
        <f ca="1">IF(H11=1,J11,I11)</f>
        <v>Provide an email for authorized company representative on Declaration tab cell D20</v>
      </c>
      <c r="D11" s="92" t="str">
        <f>IF(H11=1,"Click here to enter Representative's email","")</f>
        <v>Click here to enter Representative's email</v>
      </c>
      <c r="E11" s="19" t="s">
        <v>1213</v>
      </c>
      <c r="F11" s="90">
        <v>1</v>
      </c>
      <c r="G11" s="67">
        <f>IF(ISNUMBER(SEARCH("@",B11)),0,1)</f>
        <v>1</v>
      </c>
      <c r="H11" s="68">
        <f t="shared" si="3"/>
        <v>1</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0</v>
      </c>
      <c r="C12" s="86" t="str">
        <f ca="1">IF(H12=1,J12,I12)</f>
        <v>Provide date the form was completed on Declaration tab cell D22</v>
      </c>
      <c r="D12" s="92" t="str">
        <f>IF(H12=1,"Click here to enter Date of Completion","")</f>
        <v>Click here to enter Date of Completion</v>
      </c>
      <c r="E12" s="19" t="s">
        <v>1213</v>
      </c>
      <c r="F12" s="90">
        <v>1</v>
      </c>
      <c r="G12" s="67">
        <f>IF(B12=0,1,0)</f>
        <v>1</v>
      </c>
      <c r="H12" s="68">
        <f t="shared" si="3"/>
        <v>1</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732</v>
      </c>
      <c r="F13" s="90"/>
      <c r="H13" s="18">
        <f t="shared" si="3"/>
        <v>0</v>
      </c>
    </row>
    <row r="14" spans="1:10" ht="27.5">
      <c r="A14" s="87" t="str">
        <f ca="1">Declaration!B26</f>
        <v>Tantalum  (*)</v>
      </c>
      <c r="B14" s="86">
        <f>Declaration!D26</f>
        <v>0</v>
      </c>
      <c r="C14" s="86" t="str">
        <f ca="1">IF(H14=1,J14,I14)</f>
        <v>Declare if Tantalum is intentionally added to your products on Declaration tab cell D26</v>
      </c>
      <c r="D14" s="92" t="str">
        <f>IF(H14=1,"Click here to answer question 1 for Tantalum","")</f>
        <v>Click here to answer question 1 for Tantalum</v>
      </c>
      <c r="E14" s="19" t="s">
        <v>728</v>
      </c>
      <c r="F14" s="90">
        <v>1</v>
      </c>
      <c r="G14" s="67">
        <f>IF(B14=0,1,0)</f>
        <v>1</v>
      </c>
      <c r="H14" s="68">
        <f t="shared" si="3"/>
        <v>1</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f>Declaration!D27</f>
        <v>0</v>
      </c>
      <c r="C15" s="86" t="str">
        <f ca="1">IF(H15=1,J15,I15)</f>
        <v>Declare if Tin is intentionally added to your products on Declaration tab cell D27</v>
      </c>
      <c r="D15" s="92" t="str">
        <f>IF(H15=1,"Click here to answer question 1 for Tin","")</f>
        <v>Click here to answer question 1 for Tin</v>
      </c>
      <c r="E15" s="19" t="s">
        <v>729</v>
      </c>
      <c r="F15" s="90">
        <v>1</v>
      </c>
      <c r="G15" s="67">
        <f>IF(B15=0,1,0)</f>
        <v>1</v>
      </c>
      <c r="H15" s="68">
        <f t="shared" si="3"/>
        <v>1</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f>Declaration!D28</f>
        <v>0</v>
      </c>
      <c r="C16" s="86" t="str">
        <f ca="1">IF(H16=1,J16,I16)</f>
        <v>Declare if Gold is intentionally added to your products on Declaration tab cell D28</v>
      </c>
      <c r="D16" s="92" t="str">
        <f>IF(H16=1,"Click here to answer question 1 for Gold","")</f>
        <v>Click here to answer question 1 for Gold</v>
      </c>
      <c r="E16" s="19" t="s">
        <v>729</v>
      </c>
      <c r="F16" s="90">
        <v>1</v>
      </c>
      <c r="G16" s="67">
        <f>IF(B16=0,1,0)</f>
        <v>1</v>
      </c>
      <c r="H16" s="68">
        <f t="shared" si="3"/>
        <v>1</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f>Declaration!D29</f>
        <v>0</v>
      </c>
      <c r="C17" s="86" t="str">
        <f ca="1">IF(H17=1,J17,I17)</f>
        <v>Declare if Tungsten is intentionally added to your products on Declaration tab cell D29</v>
      </c>
      <c r="D17" s="92" t="str">
        <f>IF(H17=1,"Click here to answer question 1 for Tungsten","")</f>
        <v>Click here to answer question 1 for Tungsten</v>
      </c>
      <c r="E17" s="19" t="s">
        <v>729</v>
      </c>
      <c r="F17" s="90">
        <v>1</v>
      </c>
      <c r="G17" s="67">
        <f>IF(B17=0,1,0)</f>
        <v>1</v>
      </c>
      <c r="H17" s="68">
        <f t="shared" si="3"/>
        <v>1</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730</v>
      </c>
      <c r="F18" s="90"/>
      <c r="J18" s="143"/>
    </row>
    <row r="19" spans="1:10" ht="41">
      <c r="A19" s="87" t="str">
        <f ca="1">Declaration!B32</f>
        <v>Tantalum  (*)</v>
      </c>
      <c r="B19" s="86">
        <f>IF($B$14="Yes",Declaration!D32,0)</f>
        <v>0</v>
      </c>
      <c r="C19" s="86" t="str">
        <f ca="1">IF(H19=1,J19,I19)</f>
        <v>Declare if Tantalum is necessary to the production of your products and contained within the finished products declared in Declaration tab cell D32</v>
      </c>
      <c r="D19" s="94" t="str">
        <f>IF(H19=1,"Click here to answer question 2 for Tantalum","")</f>
        <v>Click here to answer question 2 for Tantalum</v>
      </c>
      <c r="E19" s="19" t="s">
        <v>729</v>
      </c>
      <c r="F19" s="91">
        <f>IF(B$14="No",0,1)</f>
        <v>1</v>
      </c>
      <c r="G19" s="67">
        <f>IF(B19=0,1,0)</f>
        <v>1</v>
      </c>
      <c r="H19" s="68">
        <f>F19*G19</f>
        <v>1</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f>IF($B$15="Yes",Declaration!D33,0)</f>
        <v>0</v>
      </c>
      <c r="C20" s="86" t="str">
        <f ca="1">IF(H20=1,J20,I20)</f>
        <v>Declare if Tin is necessary to the production of your products and contained within the finished products declared in Declaration tab cell D33</v>
      </c>
      <c r="D20" s="94" t="str">
        <f>IF(H20=1,"Click here to answer question 2 for Tin","")</f>
        <v>Click here to answer question 2 for Tin</v>
      </c>
      <c r="E20" s="19" t="s">
        <v>729</v>
      </c>
      <c r="F20" s="91">
        <f>IF(B$15="No",0,1)</f>
        <v>1</v>
      </c>
      <c r="G20" s="67">
        <f>IF(B20=0,1,0)</f>
        <v>1</v>
      </c>
      <c r="H20" s="68">
        <f>F20*G20</f>
        <v>1</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f>IF($B$16="Yes",Declaration!D34,0)</f>
        <v>0</v>
      </c>
      <c r="C21" s="86" t="str">
        <f ca="1">IF(H21=1,J21,I21)</f>
        <v>Declare if Gold is necessary to the production of your products and contained within the finished products declared in Declaration tab cell D34</v>
      </c>
      <c r="D21" s="94" t="str">
        <f>IF(H21=1,"Click here to answer question 2 for Gold","")</f>
        <v>Click here to answer question 2 for Gold</v>
      </c>
      <c r="E21" s="19" t="s">
        <v>729</v>
      </c>
      <c r="F21" s="91">
        <f>IF(B$16="No",0,1)</f>
        <v>1</v>
      </c>
      <c r="G21" s="67">
        <f>IF(B21=0,1,0)</f>
        <v>1</v>
      </c>
      <c r="H21" s="68">
        <f>F21*G21</f>
        <v>1</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f>IF($B$17="Yes",Declaration!D35,0)</f>
        <v>0</v>
      </c>
      <c r="C22" s="86" t="str">
        <f ca="1">IF(H22=1,J22,I22)</f>
        <v>Declare if Tungsten is necessary to the production of your products and contained within the finished products declared in Declaration tab cell D35</v>
      </c>
      <c r="D22" s="94" t="str">
        <f>IF(H22=1,"Click here to answer question 2 for Tungsten","")</f>
        <v>Click here to answer question 2 for Tungsten</v>
      </c>
      <c r="E22" s="19" t="s">
        <v>729</v>
      </c>
      <c r="F22" s="91">
        <f>IF(B$17="No",0,1)</f>
        <v>1</v>
      </c>
      <c r="G22" s="67">
        <f>IF(B22=0,1,0)</f>
        <v>1</v>
      </c>
      <c r="H22" s="68">
        <f>F22*G22</f>
        <v>1</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41">
      <c r="A24" s="87" t="str">
        <f ca="1">Declaration!B38</f>
        <v>Tantalum  (*)</v>
      </c>
      <c r="B24" s="86">
        <f>IF(AND($B$14="Yes",$B$19="Yes"),Declaration!D38,0)</f>
        <v>0</v>
      </c>
      <c r="C24" s="86" t="str">
        <f ca="1">IF(H24=1,J24,I24)</f>
        <v>Declare if Tantalum used within the scope of products declared within this survey response originated from the DRC or an adjoining Country on the Declaration tab cell D38</v>
      </c>
      <c r="D24" s="94" t="str">
        <f>IF(H24=1,"Click here to answer question 3 for Tantalum","")</f>
        <v>Click here to answer question 3 for Tantalum</v>
      </c>
      <c r="E24" s="19" t="s">
        <v>729</v>
      </c>
      <c r="F24" s="91">
        <f>IF(OR(B14="No",B19="No"),0,1)</f>
        <v>1</v>
      </c>
      <c r="G24" s="67">
        <f t="shared" ref="G24" si="6">IF(B24=0,1,0)</f>
        <v>1</v>
      </c>
      <c r="H24" s="68">
        <f t="shared" ref="H24" si="7">F24*G24</f>
        <v>1</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f>IF(AND($B$15="Yes",$B$20="Yes"),Declaration!D39,0)</f>
        <v>0</v>
      </c>
      <c r="C25" s="86" t="str">
        <f ca="1">IF(H25=1,J25,I25)</f>
        <v>Declare if Tin used within the scope of products declared within this survey response originated from the DRC or an adjoining Country on the Declaration tab cell D39</v>
      </c>
      <c r="D25" s="94" t="str">
        <f>IF(H25=1,"Click here to answer question 3 for Tin","")</f>
        <v>Click here to answer question 3 for Tin</v>
      </c>
      <c r="E25" s="19" t="s">
        <v>729</v>
      </c>
      <c r="F25" s="91">
        <f>IF(OR(B15="No",B20="No"),0,1)</f>
        <v>1</v>
      </c>
      <c r="G25" s="67">
        <f>IF(B25=0,1,0)</f>
        <v>1</v>
      </c>
      <c r="H25" s="68">
        <f>F25*G25</f>
        <v>1</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f>IF(AND($B$16="Yes",$B$21="Yes"),Declaration!D40,0)</f>
        <v>0</v>
      </c>
      <c r="C26" s="86" t="str">
        <f ca="1">IF(H26=1,J26,I26)</f>
        <v>Declare if Gold used within the scope of products declared within this survey response originated from the DRC or an adjoining Country on the Declaration tab cell D40</v>
      </c>
      <c r="D26" s="94" t="str">
        <f>IF(H26=1,"Click here to answer question 3 for Gold","")</f>
        <v>Click here to answer question 3 for Gold</v>
      </c>
      <c r="E26" s="19" t="s">
        <v>729</v>
      </c>
      <c r="F26" s="91">
        <f>IF(OR(B16="No",B21="No"),0,1)</f>
        <v>1</v>
      </c>
      <c r="G26" s="67">
        <f>IF(B26=0,1,0)</f>
        <v>1</v>
      </c>
      <c r="H26" s="68">
        <f>F26*G26</f>
        <v>1</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f>IF(AND($B$17="Yes",$B$22="Yes"),Declaration!D41,0)</f>
        <v>0</v>
      </c>
      <c r="C27" s="86" t="str">
        <f ca="1">IF(H27=1,J27,I27)</f>
        <v>Declare if Tungsten used within the scope of products declared within this survey response originated from the DRC or an adjoining Country on the Declaration tab cell D41</v>
      </c>
      <c r="D27" s="94" t="str">
        <f>IF(H27=1,"Click here to answer question 3 for Tungsten","")</f>
        <v>Click here to answer question 3 for Tungsten</v>
      </c>
      <c r="E27" s="19" t="s">
        <v>729</v>
      </c>
      <c r="F27" s="91">
        <f>IF(OR(B17="No",B22="No"),0,1)</f>
        <v>1</v>
      </c>
      <c r="G27" s="67">
        <f>IF(B27=0,1,0)</f>
        <v>1</v>
      </c>
      <c r="H27" s="68">
        <f>F27*G27</f>
        <v>1</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f>IF(AND($B$14="Yes",$B$19="Yes"),Declaration!D44,0)</f>
        <v>0</v>
      </c>
      <c r="C29" s="86" t="str">
        <f ca="1">IF(H29=1,J29,I29)</f>
        <v>Declare if Tantalum used within the scope of products declared within this survey response originated from a conflict-affected and high-risk area on the Declaration tab cell D44</v>
      </c>
      <c r="D29" s="243" t="str">
        <f>IF(H29=1,"Click here to answer question 4 for Tantalum","")</f>
        <v>Click here to answer question 4 for Tantalum</v>
      </c>
      <c r="E29" s="19"/>
      <c r="F29" s="91">
        <f>F24</f>
        <v>1</v>
      </c>
      <c r="G29" s="67">
        <f t="shared" ref="G29" si="8">IF(B29=0,1,0)</f>
        <v>1</v>
      </c>
      <c r="H29" s="68">
        <f t="shared" ref="H29" si="9">F29*G29</f>
        <v>1</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f>IF(AND($B$15="Yes",$B$20="Yes"),Declaration!D45,0)</f>
        <v>0</v>
      </c>
      <c r="C30" s="86" t="str">
        <f ca="1">IF(H30=1,J30,I30)</f>
        <v>Declare if Tin used within the scope of products declared within this survey response originated from a conflict-affected and high-risk area on the Declaration tab cell D45</v>
      </c>
      <c r="D30" s="243" t="str">
        <f>IF(H30=1,"Click here to answer question 4 for Tin","")</f>
        <v>Click here to answer question 4 for Tin</v>
      </c>
      <c r="E30" s="19"/>
      <c r="F30" s="91">
        <f>F25</f>
        <v>1</v>
      </c>
      <c r="G30" s="67">
        <f>IF(B30=0,1,0)</f>
        <v>1</v>
      </c>
      <c r="H30" s="68">
        <f>F30*G30</f>
        <v>1</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f>IF(AND($B$16="Yes",$B$21="Yes"),Declaration!D46,0)</f>
        <v>0</v>
      </c>
      <c r="C31" s="86" t="str">
        <f ca="1">IF(H31=1,J31,I31)</f>
        <v>Declare if Gold used within the scope of products declared within this survey response originated from a conflict-affected and high-risk area on the Declaration tab cell D46</v>
      </c>
      <c r="D31" s="243" t="str">
        <f>IF(H31=1,"Click here to answer question 4 for Gold","")</f>
        <v>Click here to answer question 4 for Gold</v>
      </c>
      <c r="E31" s="19"/>
      <c r="F31" s="91">
        <f>F26</f>
        <v>1</v>
      </c>
      <c r="G31" s="67">
        <f>IF(B31=0,1,0)</f>
        <v>1</v>
      </c>
      <c r="H31" s="68">
        <f>F31*G31</f>
        <v>1</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f>IF(AND($B$17="Yes",$B$22="Yes"),Declaration!D47,0)</f>
        <v>0</v>
      </c>
      <c r="C32" s="86" t="str">
        <f ca="1">IF(H32=1,J32,I32)</f>
        <v>Declare if Tungsten used within the scope of products declared within this survey response originated from a conflict-affected and high-risk area on the Declaration tab cell D47</v>
      </c>
      <c r="D32" s="243" t="str">
        <f>IF(H32=1,"Click here to answer question 4 for Tungsten","")</f>
        <v>Click here to answer question 4 for Tungsten</v>
      </c>
      <c r="E32" s="19"/>
      <c r="F32" s="91">
        <f>F27</f>
        <v>1</v>
      </c>
      <c r="G32" s="67">
        <f>IF(B32=0,1,0)</f>
        <v>1</v>
      </c>
      <c r="H32" s="68">
        <f>F32*G32</f>
        <v>1</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1213</v>
      </c>
      <c r="F33" s="90"/>
      <c r="J33" s="143"/>
    </row>
    <row r="34" spans="1:10" ht="41">
      <c r="A34" s="87" t="str">
        <f ca="1">Declaration!B50</f>
        <v>Tantalum  (*)</v>
      </c>
      <c r="B34" s="86">
        <f>IF(AND($B$14="Yes",$B$19="Yes"),Declaration!D50,0)</f>
        <v>0</v>
      </c>
      <c r="C34" s="86" t="str">
        <f ca="1">IF(H34=1,J34,I34)</f>
        <v>Declare if Tantalum used within the scope of products declared within this survey response originated entirely from a recycled or scrap source on the Declaration tab cell D44</v>
      </c>
      <c r="D34" s="243" t="str">
        <f>IF(H34=1,"Click here to answer question 5 for Tantalum","")</f>
        <v>Click here to answer question 5 for Tantalum</v>
      </c>
      <c r="E34" s="19" t="s">
        <v>1213</v>
      </c>
      <c r="F34" s="91">
        <f>F24</f>
        <v>1</v>
      </c>
      <c r="G34" s="67">
        <f>IF(B34=0,1,0)</f>
        <v>1</v>
      </c>
      <c r="H34" s="68">
        <f>F34*G34</f>
        <v>1</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f>IF(AND($B$15="Yes",$B$20="Yes"),Declaration!D51,0)</f>
        <v>0</v>
      </c>
      <c r="C35" s="86" t="str">
        <f ca="1">IF(H35=1,J35,I35)</f>
        <v>Declare if Tin used within the scope of products declared within this survey response originated entirely from a recycled or scrap source on the Declaration tab cell D45</v>
      </c>
      <c r="D35" s="243" t="str">
        <f>IF(H35=1,"Click here to answer question 5 for Tin","")</f>
        <v>Click here to answer question 5 for Tin</v>
      </c>
      <c r="E35" s="19" t="s">
        <v>1213</v>
      </c>
      <c r="F35" s="91">
        <f>F25</f>
        <v>1</v>
      </c>
      <c r="G35" s="67">
        <f>IF(B35=0,1,0)</f>
        <v>1</v>
      </c>
      <c r="H35" s="68">
        <f>F35*G35</f>
        <v>1</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f>IF(AND($B$16="Yes",$B$21="Yes"),Declaration!D52,0)</f>
        <v>0</v>
      </c>
      <c r="C36" s="86" t="str">
        <f ca="1">IF(H36=1,J36,I36)</f>
        <v>Declare if Gold used within the scope of products declared within this survey response originated entirely from a recycled or scrap source on the Declaration tab cell D46</v>
      </c>
      <c r="D36" s="243" t="str">
        <f>IF(H36=1,"Click here to answer question 5 for Gold","")</f>
        <v>Click here to answer question 5 for Gold</v>
      </c>
      <c r="E36" s="19" t="s">
        <v>1213</v>
      </c>
      <c r="F36" s="91">
        <f>F26</f>
        <v>1</v>
      </c>
      <c r="G36" s="67">
        <f>IF(B36=0,1,0)</f>
        <v>1</v>
      </c>
      <c r="H36" s="68">
        <f>F36*G36</f>
        <v>1</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f>IF(AND($B$17="Yes",$B$22="Yes"),Declaration!D53,0)</f>
        <v>0</v>
      </c>
      <c r="C37" s="86" t="str">
        <f ca="1">IF(H37=1,J37,I37)</f>
        <v>Declare if Tungsten used within the scope of products declared within this survey response originated entirely from a recycled or scrap source on the Declaration tab cell D47</v>
      </c>
      <c r="D37" s="243" t="str">
        <f>IF(H37=1,"Click here to answer question 5 for Tungsten","")</f>
        <v>Click here to answer question 5 for Tungsten</v>
      </c>
      <c r="E37" s="19" t="s">
        <v>1213</v>
      </c>
      <c r="F37" s="91">
        <f>F27</f>
        <v>1</v>
      </c>
      <c r="G37" s="67">
        <f>IF(B37=0,1,0)</f>
        <v>1</v>
      </c>
      <c r="H37" s="68">
        <f>F37*G37</f>
        <v>1</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729</v>
      </c>
      <c r="F38" s="90"/>
    </row>
    <row r="39" spans="1:10" ht="27.5">
      <c r="A39" s="87" t="str">
        <f ca="1">Declaration!B56</f>
        <v>Tantalum  (*)</v>
      </c>
      <c r="B39" s="251">
        <f>IF(AND($B$14="Yes",$B$19="Yes"),Declaration!D56,0)</f>
        <v>0</v>
      </c>
      <c r="C39" s="86" t="str">
        <f ca="1">IF(H39=1,J39,I39)</f>
        <v>Provide % of completeness of supplier's smelter information on Declaration tab cell D50</v>
      </c>
      <c r="D39" s="244" t="str">
        <f>IF(H39=1,"Click here to answer question 6 for Tantalum","")</f>
        <v>Click here to answer question 6 for Tantalum</v>
      </c>
      <c r="E39" s="19" t="s">
        <v>728</v>
      </c>
      <c r="F39" s="91">
        <f>F24</f>
        <v>1</v>
      </c>
      <c r="G39" s="67">
        <f>IF(B39=0,1,0)</f>
        <v>1</v>
      </c>
      <c r="H39" s="68">
        <f>F39*G39</f>
        <v>1</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f>IF(AND($B$15="Yes",$B$20="Yes"),Declaration!D57,0)</f>
        <v>0</v>
      </c>
      <c r="C40" s="86" t="str">
        <f ca="1">IF(H40=1,J40,I40)</f>
        <v>Provide % of completeness of supplier's smelter information on Declaration tab cell D51</v>
      </c>
      <c r="D40" s="244" t="str">
        <f>IF(H40=1,"Click here to answer question 6 for Tin","")</f>
        <v>Click here to answer question 6 for Tin</v>
      </c>
      <c r="E40" s="19" t="s">
        <v>728</v>
      </c>
      <c r="F40" s="91">
        <f>F25</f>
        <v>1</v>
      </c>
      <c r="G40" s="67">
        <f>IF(B40=0,1,0)</f>
        <v>1</v>
      </c>
      <c r="H40" s="68">
        <f>F40*G40</f>
        <v>1</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f>IF(AND($B$16="Yes",$B$21="Yes"),Declaration!D58,0)</f>
        <v>0</v>
      </c>
      <c r="C41" s="86" t="str">
        <f ca="1">IF(H41=1,J41,I41)</f>
        <v>Provide % of completeness of supplier's smelter information on Declaration tab cell D52</v>
      </c>
      <c r="D41" s="244" t="str">
        <f>IF(H41=1,"Click here to answer question 6 for Gold","")</f>
        <v>Click here to answer question 6 for Gold</v>
      </c>
      <c r="E41" s="19" t="s">
        <v>728</v>
      </c>
      <c r="F41" s="91">
        <f>F26</f>
        <v>1</v>
      </c>
      <c r="G41" s="67">
        <f>IF(B41=0,1,0)</f>
        <v>1</v>
      </c>
      <c r="H41" s="68">
        <f>F41*G41</f>
        <v>1</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f>IF(AND($B$17="Yes",$B$22="Yes"),Declaration!D59,0)</f>
        <v>0</v>
      </c>
      <c r="C42" s="86" t="str">
        <f ca="1">IF(H42=1,J42,I42)</f>
        <v>Provide % of completeness of supplier's smelter information on Declaration tab cell D53</v>
      </c>
      <c r="D42" s="244" t="str">
        <f>IF(H42=1,"Click here to answer question 6 for Tungsten","")</f>
        <v>Click here to answer question 6 for Tungsten</v>
      </c>
      <c r="E42" s="19" t="s">
        <v>728</v>
      </c>
      <c r="F42" s="91">
        <f>F27</f>
        <v>1</v>
      </c>
      <c r="G42" s="67">
        <f>IF(B42=0,1,0)</f>
        <v>1</v>
      </c>
      <c r="H42" s="68">
        <f>F42*G42</f>
        <v>1</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730</v>
      </c>
      <c r="F43" s="90"/>
    </row>
    <row r="44" spans="1:10" ht="54.5">
      <c r="A44" s="87" t="str">
        <f ca="1">Declaration!B62</f>
        <v>Tantalum  (*)</v>
      </c>
      <c r="B44" s="86">
        <f>IF(AND($B$14="Yes",$B$19="Yes"),Declaration!D62,0)</f>
        <v>0</v>
      </c>
      <c r="C44" s="86" t="str">
        <f ca="1">IF(H44=1,J44,I44)</f>
        <v>Declare if all smelter names have been provided in this survey response under the scope of products declared on the Declaration tab cell D56</v>
      </c>
      <c r="D44" s="243" t="str">
        <f>IF(H44=1,"Click here to answer question 7 for Tantalum","")</f>
        <v>Click here to answer question 7 for Tantalum</v>
      </c>
      <c r="E44" s="19" t="s">
        <v>1209</v>
      </c>
      <c r="F44" s="91">
        <f>F24</f>
        <v>1</v>
      </c>
      <c r="G44" s="67">
        <f>IF(B44=0,1,0)</f>
        <v>1</v>
      </c>
      <c r="H44" s="68">
        <f>F44*G44</f>
        <v>1</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f>IF(AND($B$15="Yes",$B$20="Yes"),Declaration!D63,0)</f>
        <v>0</v>
      </c>
      <c r="C45" s="86" t="str">
        <f ca="1">IF(H45=1,J45,I45)</f>
        <v>Declare if all smelter names have been provided in this survey response under the scope of products declared on the Declaration tab cell D57</v>
      </c>
      <c r="D45" s="243" t="str">
        <f>IF(H45=1,"Click here to answer question 7 for Tin","")</f>
        <v>Click here to answer question 7 for Tin</v>
      </c>
      <c r="E45" s="19" t="s">
        <v>1209</v>
      </c>
      <c r="F45" s="91">
        <f>F25</f>
        <v>1</v>
      </c>
      <c r="G45" s="67">
        <f>IF(B45=0,1,0)</f>
        <v>1</v>
      </c>
      <c r="H45" s="68">
        <f>F45*G45</f>
        <v>1</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f>IF(AND($B$16="Yes",$B$21="Yes"),Declaration!D64,0)</f>
        <v>0</v>
      </c>
      <c r="C46" s="86" t="str">
        <f ca="1">IF(H46=1,J46,I46)</f>
        <v>Declare if all smelter names have been provided in this survey response under the scope of products declared on the Declaration tab cell D58</v>
      </c>
      <c r="D46" s="243" t="str">
        <f>IF(H46=1,"Click here to answer question 7 for Gold","")</f>
        <v>Click here to answer question 7 for Gold</v>
      </c>
      <c r="E46" s="19" t="s">
        <v>1209</v>
      </c>
      <c r="F46" s="91">
        <f>F26</f>
        <v>1</v>
      </c>
      <c r="G46" s="67">
        <f>IF(B46=0,1,0)</f>
        <v>1</v>
      </c>
      <c r="H46" s="68">
        <f>F46*G46</f>
        <v>1</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f>IF(AND($B$17="Yes",$B$22="Yes"),Declaration!D65,0)</f>
        <v>0</v>
      </c>
      <c r="C47" s="86" t="str">
        <f ca="1">IF(H47=1,J47,I47)</f>
        <v>Declare if all smelter names have been provided in this survey response which the scope of products declared on the Declaration tab cell D59</v>
      </c>
      <c r="D47" s="243" t="str">
        <f>IF(H47=1,"Click here to answer question 7 for Tungsten","")</f>
        <v>Click here to answer question 7 for Tungsten</v>
      </c>
      <c r="E47" s="19" t="s">
        <v>1209</v>
      </c>
      <c r="F47" s="91">
        <f>F27</f>
        <v>1</v>
      </c>
      <c r="G47" s="67">
        <f>IF(B47=0,1,0)</f>
        <v>1</v>
      </c>
      <c r="H47" s="68">
        <f>F47*G47</f>
        <v>1</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731</v>
      </c>
      <c r="F48" s="90"/>
    </row>
    <row r="49" spans="1:10" ht="41">
      <c r="A49" s="87" t="str">
        <f ca="1">Declaration!B68</f>
        <v>Tantalum  (*)</v>
      </c>
      <c r="B49" s="86">
        <f>IF(AND($B$14="Yes",$B$19="Yes"),Declaration!D68,0)</f>
        <v>0</v>
      </c>
      <c r="C49" s="86" t="str">
        <f ca="1">IF(H49=1,J49,I49)</f>
        <v>Declare if all applicable Tantalum smelter information has been provided on Declaration tab cell D62</v>
      </c>
      <c r="D49" s="244" t="str">
        <f>IF(H49=1,"Click here to answer question 8 for Tantalum","")</f>
        <v>Click here to answer question 8 for Tantalum</v>
      </c>
      <c r="E49" s="19" t="s">
        <v>729</v>
      </c>
      <c r="F49" s="91">
        <f>F24</f>
        <v>1</v>
      </c>
      <c r="G49" s="67">
        <f>IF(B49=0,1,0)</f>
        <v>1</v>
      </c>
      <c r="H49" s="68">
        <f>F49*G49</f>
        <v>1</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f>IF(AND($B$15="Yes",$B$20="Yes"),Declaration!D69,0)</f>
        <v>0</v>
      </c>
      <c r="C50" s="86" t="str">
        <f ca="1">IF(H50=1,J50,I50)</f>
        <v>Declare if all applicable Tin smelter information has been provided on Declaration tab cell D63</v>
      </c>
      <c r="D50" s="244" t="str">
        <f>IF(H50=1,"Click here to answer question 8 for Tin","")</f>
        <v>Click here to answer question 8 for Tin</v>
      </c>
      <c r="E50" s="19" t="s">
        <v>729</v>
      </c>
      <c r="F50" s="91">
        <f>F25</f>
        <v>1</v>
      </c>
      <c r="G50" s="67">
        <f>IF(B50=0,1,0)</f>
        <v>1</v>
      </c>
      <c r="H50" s="68">
        <f>F50*G50</f>
        <v>1</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f>IF(AND($B$16="Yes",$B$21="Yes"),Declaration!D70,0)</f>
        <v>0</v>
      </c>
      <c r="C51" s="86" t="str">
        <f ca="1">IF(H51=1,J51,I51)</f>
        <v>Declare if all applicable Gold smelter information has been provided on Declaration tab cell D64</v>
      </c>
      <c r="D51" s="244" t="str">
        <f>IF(H51=1,"Click here to answer question 8 for Gold","")</f>
        <v>Click here to answer question 8 for Gold</v>
      </c>
      <c r="E51" s="19" t="s">
        <v>729</v>
      </c>
      <c r="F51" s="91">
        <f>F26</f>
        <v>1</v>
      </c>
      <c r="G51" s="67">
        <f>IF(B51=0,1,0)</f>
        <v>1</v>
      </c>
      <c r="H51" s="68">
        <f>F51*G51</f>
        <v>1</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f>IF(AND($B$17="Yes",$B$22="Yes"),Declaration!D71,0)</f>
        <v>0</v>
      </c>
      <c r="C52" s="86" t="str">
        <f ca="1">IF(H52=1,J52,I52)</f>
        <v>Declare if all applicable Tungsten smelter information has been provided on Declaration tab cell D65</v>
      </c>
      <c r="D52" s="244" t="str">
        <f>IF(H52=1,"Click here to answer question 8 for Tungsten","")</f>
        <v>Click here to answer question 8 for Tungsten</v>
      </c>
      <c r="E52" s="19" t="s">
        <v>729</v>
      </c>
      <c r="F52" s="91">
        <f>F27</f>
        <v>1</v>
      </c>
      <c r="G52" s="67">
        <f>IF(B52=0,1,0)</f>
        <v>1</v>
      </c>
      <c r="H52" s="68">
        <f>F52*G52</f>
        <v>1</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408</v>
      </c>
      <c r="F53" s="90"/>
      <c r="G53" s="90"/>
      <c r="H53" s="90"/>
    </row>
    <row r="54" spans="1:10" ht="41">
      <c r="A54" s="86" t="str">
        <f ca="1">Declaration!B75</f>
        <v>A. Have you established a responsible minerals sourcing policy? (*)</v>
      </c>
      <c r="B54" s="86">
        <f>Declaration!D75</f>
        <v>0</v>
      </c>
      <c r="C54" s="86" t="str">
        <f t="shared" ref="C54:C60" ca="1" si="10">IF(H54=1,J54,I54)</f>
        <v>Answer if your company has a responsible minerals sourcing policy on the Declaration tab cell D75</v>
      </c>
      <c r="D54" s="92" t="str">
        <f>IF(H54=1,"Click here to answer question (A)","")</f>
        <v>Click here to answer question (A)</v>
      </c>
      <c r="E54" s="19" t="s">
        <v>1213</v>
      </c>
      <c r="F54" s="91">
        <f>IF(SUM(F$24:F$27)=0,0,1)</f>
        <v>1</v>
      </c>
      <c r="G54" s="67">
        <f>IF(B54=0,1,0)</f>
        <v>1</v>
      </c>
      <c r="H54" s="68">
        <f t="shared" ref="H54:H60" si="11">F54*G54</f>
        <v>1</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f>Declaration!D77</f>
        <v>0</v>
      </c>
      <c r="C55" s="86" t="str">
        <f t="shared" ca="1" si="10"/>
        <v>Answer if your company has made your responsible minerals sourcing policy publically available on your website on the Declaration tab cell D77</v>
      </c>
      <c r="D55" s="92" t="str">
        <f>IF(H55=1,"Click here to answer question (B)","")</f>
        <v>Click here to answer question (B)</v>
      </c>
      <c r="E55" s="19" t="s">
        <v>1213</v>
      </c>
      <c r="F55" s="91">
        <f t="shared" ref="F55" si="12">F$54</f>
        <v>1</v>
      </c>
      <c r="G55" s="67">
        <f>IF(B55=0,1,0)</f>
        <v>1</v>
      </c>
      <c r="H55" s="68">
        <f t="shared" si="11"/>
        <v>1</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2</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f>Declaration!D79</f>
        <v>0</v>
      </c>
      <c r="C57" s="86" t="str">
        <f t="shared" ca="1" si="10"/>
        <v>Answer if you require your direct suppliers to source from smelters whose due diligence practices have been validated by an independent third-party audit program on Declaration tab cell D79</v>
      </c>
      <c r="D57" s="92" t="str">
        <f>IF(H57=1,"Click here to answer question (C)","")</f>
        <v>Click here to answer question (C)</v>
      </c>
      <c r="E57" s="19" t="s">
        <v>1213</v>
      </c>
      <c r="F57" s="91">
        <f>F$54</f>
        <v>1</v>
      </c>
      <c r="G57" s="67">
        <f>IF(B57=0,1,0)</f>
        <v>1</v>
      </c>
      <c r="H57" s="68">
        <f t="shared" si="11"/>
        <v>1</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41">
      <c r="A58" s="86" t="str">
        <f ca="1">Declaration!B81</f>
        <v>D. Have you implemented due diligence measures for responsible sourcing? (*)</v>
      </c>
      <c r="B58" s="86">
        <f>Declaration!D81</f>
        <v>0</v>
      </c>
      <c r="C58" s="86" t="str">
        <f t="shared" ca="1" si="10"/>
        <v>Answer if you have implemented due diligence measures for responsible sourcing on Declaration tab cell D81</v>
      </c>
      <c r="D58" s="92" t="str">
        <f>IF(H58=1,"Click here to answer question (D)","")</f>
        <v>Click here to answer question (D)</v>
      </c>
      <c r="E58" s="19" t="s">
        <v>1213</v>
      </c>
      <c r="F58" s="91">
        <f>F$54</f>
        <v>1</v>
      </c>
      <c r="G58" s="67">
        <f>IF(B58=0,1,0)</f>
        <v>1</v>
      </c>
      <c r="H58" s="68">
        <f t="shared" si="11"/>
        <v>1</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f>Declaration!D83</f>
        <v>0</v>
      </c>
      <c r="C59" s="86" t="str">
        <f t="shared" ca="1" si="10"/>
        <v>Answer if you request your suppliers to fill out this Conflict Minerals Reporting Template on Declaration tab cell D83</v>
      </c>
      <c r="D59" s="92" t="str">
        <f>IF(H59=1,"Click here to answer question (E)","")</f>
        <v>Click here to answer question (E)</v>
      </c>
      <c r="E59" s="19" t="s">
        <v>1213</v>
      </c>
      <c r="F59" s="91">
        <f>F$54</f>
        <v>1</v>
      </c>
      <c r="G59" s="67">
        <f>IF(B59=0,1,0)</f>
        <v>1</v>
      </c>
      <c r="H59" s="68">
        <f t="shared" si="11"/>
        <v>1</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f>Declaration!D85</f>
        <v>0</v>
      </c>
      <c r="C60" s="86" t="str">
        <f t="shared" ca="1" si="10"/>
        <v>Answer if you verify responses from your suppliers against your company's expectations on Declaration tab cell D85</v>
      </c>
      <c r="D60" s="92" t="str">
        <f>IF(H60=1,"Click here to answer question (F)","")</f>
        <v>Click here to answer question (F)</v>
      </c>
      <c r="E60" s="19" t="s">
        <v>1213</v>
      </c>
      <c r="F60" s="91">
        <f>F$54</f>
        <v>1</v>
      </c>
      <c r="G60" s="67">
        <f>IF(B60=0,1,0)</f>
        <v>1</v>
      </c>
      <c r="H60" s="68">
        <f t="shared" si="11"/>
        <v>1</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f>Declaration!D87</f>
        <v>0</v>
      </c>
      <c r="C62" s="86" t="str">
        <f t="shared" ref="C62:C68" ca="1" si="13">IF(H62=1,J62,I62)</f>
        <v>Answer if your verification process includes corrective action management on Declaration tab cell D87</v>
      </c>
      <c r="D62" s="92" t="str">
        <f>IF(H62=1,"Click here to answer question (G)","")</f>
        <v>Click here to answer question (G)</v>
      </c>
      <c r="E62" s="19" t="s">
        <v>1213</v>
      </c>
      <c r="F62" s="91">
        <f>F$54</f>
        <v>1</v>
      </c>
      <c r="G62" s="67">
        <f>IF(B62=0,1,0)</f>
        <v>1</v>
      </c>
      <c r="H62" s="68">
        <f t="shared" ref="H62:H69" si="14">F62*G62</f>
        <v>1</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f>Declaration!D89</f>
        <v>0</v>
      </c>
      <c r="C63" s="86" t="str">
        <f t="shared" ca="1" si="13"/>
        <v>Answer if you are subject to the SEC Disclosure requirement, the EU regulation or both on Declaration tab cell D89</v>
      </c>
      <c r="D63" s="92" t="str">
        <f>IF(H63=1,"Click here to answer question (H)","")</f>
        <v>Click here to answer question (H)</v>
      </c>
      <c r="E63" s="19" t="s">
        <v>1213</v>
      </c>
      <c r="F63" s="91">
        <f>F$54</f>
        <v>1</v>
      </c>
      <c r="G63" s="67">
        <f>IF(B63=0,1,0)</f>
        <v>1</v>
      </c>
      <c r="H63" s="68">
        <f t="shared" si="14"/>
        <v>1</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14273</v>
      </c>
      <c r="B65" s="86"/>
      <c r="C65" s="86" t="str">
        <f t="shared" ca="1" si="13"/>
        <v>Provide list of tantalum smelters contributing material to supply chain on Smelter List tab</v>
      </c>
      <c r="D65" s="92" t="str">
        <f>IF(H65=0,"","Click here to provide smelter information")</f>
        <v>Click here to provide smelter information</v>
      </c>
      <c r="E65" s="19" t="s">
        <v>1213</v>
      </c>
      <c r="F65" s="91">
        <f>F24</f>
        <v>1</v>
      </c>
      <c r="G65" s="67">
        <f>IF(AND(COUNTIF(SmelterIdetifiedForMetal,"Tantalum")&gt;0,COUNTIF('Smelter List'!AB$5:AB$2504,"Tantalum?*")&gt;0),0,1)</f>
        <v>1</v>
      </c>
      <c r="H65" s="68">
        <f t="shared" si="14"/>
        <v>1</v>
      </c>
      <c r="I65" s="142" t="str">
        <f ca="1">OFFSET(L!$C$1,MATCH("Checker"&amp;"Comp",L!$A:$A,0)-1,SL,,)</f>
        <v>Complete</v>
      </c>
      <c r="J65" s="18" t="str">
        <f ca="1">OFFSET(L!$C$1,MATCH("Checker"&amp;ADDRESS(ROW(),COLUMN(),4),L!$A:$A,0)-1,SL,,)</f>
        <v>Provide list of tantalum smelters contributing material to supply chain on Smelter List tab</v>
      </c>
      <c r="K65" s="147">
        <f>IF(H14+H19&gt;0,1,0)</f>
        <v>1</v>
      </c>
      <c r="L65" s="18" t="e">
        <f ca="1">OFFSET(L!$C$1,MATCH("Checker"&amp;ADDRESS(ROW(),COLUMN(),4),L!$A:$A,0)-1,SL,,)</f>
        <v>#N/A</v>
      </c>
    </row>
    <row r="66" spans="1:12" ht="41">
      <c r="A66" s="86" t="s">
        <v>1706</v>
      </c>
      <c r="B66" s="86"/>
      <c r="C66" s="86" t="str">
        <f t="shared" ca="1" si="13"/>
        <v>Provide list of tin smelters contributing material to supply chain on Smelter List tab</v>
      </c>
      <c r="D66" s="92" t="str">
        <f>IF(H66=0,"","Click here to provide smelter information")</f>
        <v>Click here to provide smelter information</v>
      </c>
      <c r="E66" s="19" t="s">
        <v>729</v>
      </c>
      <c r="F66" s="91">
        <f>F25</f>
        <v>1</v>
      </c>
      <c r="G66" s="67">
        <f>IF(AND(COUNTIF(SmelterIdetifiedForMetal,"Tin")&gt;0,COUNTIF('Smelter List'!AB$5:AB$2504,"Tin?*")&gt;0),0,1)</f>
        <v>1</v>
      </c>
      <c r="H66" s="68">
        <f t="shared" si="14"/>
        <v>1</v>
      </c>
      <c r="I66" s="142" t="str">
        <f ca="1">OFFSET(L!$C$1,MATCH("Checker"&amp;"Comp",L!$A:$A,0)-1,SL,,)</f>
        <v>Complete</v>
      </c>
      <c r="J66" s="18" t="str">
        <f ca="1">OFFSET(L!$C$1,MATCH("Checker"&amp;ADDRESS(ROW(),COLUMN(),4),L!$A:$A,0)-1,SL,,)</f>
        <v>Provide list of tin smelters contributing material to supply chain on Smelter List tab</v>
      </c>
      <c r="K66" s="147">
        <f>IF(H15+H20&gt;0,1,0)</f>
        <v>1</v>
      </c>
      <c r="L66" s="18" t="e">
        <f ca="1">OFFSET(L!$C$1,MATCH("Checker"&amp;ADDRESS(ROW(),COLUMN(),4),L!$A:$A,0)-1,SL,,)</f>
        <v>#N/A</v>
      </c>
    </row>
    <row r="67" spans="1:12" ht="41">
      <c r="A67" s="86" t="s">
        <v>1707</v>
      </c>
      <c r="B67" s="86"/>
      <c r="C67" s="86" t="str">
        <f t="shared" ca="1" si="13"/>
        <v>Provide list of gold smelters contributing material to supply chain on Smelter List tab</v>
      </c>
      <c r="D67" s="92" t="str">
        <f>IF(H67=0,"","Click here to provide smelter information")</f>
        <v>Click here to provide smelter information</v>
      </c>
      <c r="E67" s="19" t="s">
        <v>729</v>
      </c>
      <c r="F67" s="91">
        <f>F26</f>
        <v>1</v>
      </c>
      <c r="G67" s="67">
        <f>IF(AND(COUNTIF(SmelterIdetifiedForMetal,"Gold")&gt;0,COUNTIF('Smelter List'!AB$5:AB$2504,"Gold?*")&gt;0),0,1)</f>
        <v>1</v>
      </c>
      <c r="H67" s="68">
        <f t="shared" si="14"/>
        <v>1</v>
      </c>
      <c r="I67" s="142" t="str">
        <f ca="1">OFFSET(L!$C$1,MATCH("Checker"&amp;"Comp",L!$A:$A,0)-1,SL,,)</f>
        <v>Complete</v>
      </c>
      <c r="J67" s="18" t="str">
        <f ca="1">OFFSET(L!$C$1,MATCH("Checker"&amp;ADDRESS(ROW(),COLUMN(),4),L!$A:$A,0)-1,SL,,)</f>
        <v>Provide list of gold smelters contributing material to supply chain on Smelter List tab</v>
      </c>
      <c r="K67" s="147">
        <f>IF(H16+H21&gt;0,1,0)</f>
        <v>1</v>
      </c>
      <c r="L67" s="18" t="e">
        <f ca="1">OFFSET(L!$C$1,MATCH("Checker"&amp;ADDRESS(ROW(),COLUMN(),4),L!$A:$A,0)-1,SL,,)</f>
        <v>#N/A</v>
      </c>
    </row>
    <row r="68" spans="1:12" ht="41">
      <c r="A68" s="86" t="s">
        <v>1708</v>
      </c>
      <c r="B68" s="86"/>
      <c r="C68" s="86" t="str">
        <f t="shared" ca="1" si="13"/>
        <v>Provide list of tungsten smelters contributing material to supply chain on Smelter List tab</v>
      </c>
      <c r="D68" s="92" t="str">
        <f>IF(H68=0,"","Click here to provide smelter information")</f>
        <v>Click here to provide smelter information</v>
      </c>
      <c r="E68" s="19" t="s">
        <v>729</v>
      </c>
      <c r="F68" s="91">
        <f>F27</f>
        <v>1</v>
      </c>
      <c r="G68" s="67">
        <f>IF(AND(COUNTIF(SmelterIdetifiedForMetal,"Tungsten")&gt;0,COUNTIF('Smelter List'!AB$5:AB$2504,"Tungsten?*")&gt;0),0,1)</f>
        <v>1</v>
      </c>
      <c r="H68" s="68">
        <f t="shared" si="14"/>
        <v>1</v>
      </c>
      <c r="I68" s="142" t="str">
        <f ca="1">OFFSET(L!$C$1,MATCH("Checker"&amp;"Comp",L!$A:$A,0)-1,SL,,)</f>
        <v>Complete</v>
      </c>
      <c r="J68" s="18" t="str">
        <f ca="1">OFFSET(L!$C$1,MATCH("Checker"&amp;ADDRESS(ROW(),COLUMN(),4),L!$A:$A,0)-1,SL,,)</f>
        <v>Provide list of tungsten smelters contributing material to supply chain on Smelter List tab</v>
      </c>
      <c r="K68" s="147">
        <f>IF(H17+H22&gt;0,1,0)</f>
        <v>1</v>
      </c>
      <c r="L68" s="18" t="e">
        <f ca="1">OFFSET(L!$C$1,MATCH("Checker"&amp;ADDRESS(ROW(),COLUMN(),4),L!$A:$A,0)-1,SL,,)</f>
        <v>#N/A</v>
      </c>
    </row>
    <row r="69" spans="1:12" ht="27">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52</v>
      </c>
    </row>
    <row r="73" spans="1:12" ht="14" thickBot="1"/>
  </sheetData>
  <sheetProtection algorithmName="SHA-512" hashValue="omdLYNOepUWSmL/QNW2ADpV3h3PMPt+tju8MClEChaYNfAcFm6F8WcUFaGWtWMRdMI9PNURt92l8kOCzEt7UXA==" saltValue="jf+NM+fPwufrGyapXK0+yA=="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65" t="str">
        <f ca="1">OFFSET(L!$C$1,MATCH("General"&amp;"Cpy",L!$A:$A,0)-1,SL,,)</f>
        <v>© 2026, All rights reserved.</v>
      </c>
      <c r="C2006" s="365"/>
      <c r="D2006" s="365"/>
      <c r="E2006" s="365"/>
      <c r="F2006" s="365"/>
      <c r="G2006" s="261"/>
    </row>
    <row r="2007" spans="1:7" ht="14" thickTop="1">
      <c r="F2007" s="263"/>
    </row>
  </sheetData>
  <sheetProtection algorithmName="SHA-512" hashValue="26AN2hpCDwPefurRKc3CIfGydacwbO/F+xy9jWgEQeu4+YUhhA8b4+oo0EPnS/Ns+XERiIuCIGOyX3/r9q17Kg==" saltValue="+wrnLokcHk8nTlaHoWsB5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algorithmName="SHA-512" hashValue="xzadcPZYQXd//tWwjpb8fIoQNDSOh95H+7E8oAv6mEtkwL695ln6g56bji7B2mEKKSILdkM4qDvnmp3ZgHO3wQ==" saltValue="dxKbFSXjG790RHOL19rZHQ=="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83.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0.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7">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40.5">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0.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0.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40.5">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1">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27">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81">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27">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67.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0.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0.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48.5">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1.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40.5">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391.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29.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55">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16">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16">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0.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58">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08">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08">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01.5">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364.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03">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188.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01.5">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0.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7">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87">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67.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4">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3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1">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4.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1.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67.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3.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3.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4">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37.5">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81">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21.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48.5">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16">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40.5">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02.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27">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56.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62">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48.5">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10.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94.5">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40.5">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7">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7">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7">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0.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7">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7">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7">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7">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7">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7">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7">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7">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1">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89">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3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48.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67.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3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54">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21.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29.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08">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10.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0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7">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67.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48.5">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7">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3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67.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48.5">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3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3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7">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7">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40.5">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43.5">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4">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7">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7">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7">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7">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7">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7">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27">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29">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14.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4">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40.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0.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29">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29">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40.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7">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7">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67.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4">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27">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29">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40.5">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27">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29">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14.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7">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7">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7">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7">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7">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7">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27">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7">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7">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7">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7">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7">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7">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7">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7">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7">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7">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7">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7">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0.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0.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4">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0.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6">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4">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7">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27">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7">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7">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27">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7">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0.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40.5">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27">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0.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0.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27">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0.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4">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4">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4">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4">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67.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67.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67.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67.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67.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67.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67.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67.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67.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67.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54">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67.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40.5">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4">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4">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4">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0.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0.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0.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0.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4">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54">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4">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67.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4">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40.5">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0.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40.5">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40.5">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40.5">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1">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7">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7">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67.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7">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27">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67.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5DFDB2D-129E-40FF-8285-6C1C021F8BE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72C058F-35C1-4F4F-8C0E-8412E378D04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Gavin Wu</cp:lastModifiedBy>
  <cp:lastPrinted>2015-04-21T20:47:43Z</cp:lastPrinted>
  <dcterms:created xsi:type="dcterms:W3CDTF">2010-06-21T21:00:23Z</dcterms:created>
  <dcterms:modified xsi:type="dcterms:W3CDTF">2026-08-19T18:58:05Z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