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L:\品質處\品保中心\品質系統部\部門公用區(一般-內部使用)\品質系統課-Engineer\礦產衝突--供應商調查\"/>
    </mc:Choice>
  </mc:AlternateContent>
  <xr:revisionPtr revIDLastSave="0" documentId="8_{C934FA90-96A1-441A-8C56-F207643D109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720" tabRatio="789"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H48" i="6"/>
  <c r="F49" i="6"/>
  <c r="H49" i="6"/>
  <c r="F50" i="6"/>
  <c r="H50" i="6"/>
  <c r="F52" i="6"/>
  <c r="H52" i="6"/>
  <c r="F53" i="6"/>
  <c r="H53" i="6"/>
  <c r="F54" i="6"/>
  <c r="H54" i="6"/>
  <c r="F55" i="6"/>
  <c r="H55" i="6"/>
  <c r="F57" i="6"/>
  <c r="H57" i="6"/>
  <c r="F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D13" i="6"/>
  <c r="B12" i="6"/>
  <c r="G12" i="6"/>
  <c r="H12" i="6"/>
  <c r="D12" i="6"/>
  <c r="D11" i="6"/>
  <c r="B10" i="6"/>
  <c r="G10" i="6"/>
  <c r="H10" i="6"/>
  <c r="D10" i="6"/>
  <c r="B9" i="6"/>
  <c r="G9" i="6"/>
  <c r="H9" i="6"/>
  <c r="D9" i="6"/>
  <c r="D8" i="6"/>
  <c r="B7" i="6"/>
  <c r="G7" i="6"/>
  <c r="H7" i="6"/>
  <c r="D7" i="6"/>
  <c r="B4" i="6"/>
  <c r="G4" i="6"/>
  <c r="H4"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H59"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D23"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<sst xmlns="http://schemas.openxmlformats.org/spreadsheetml/2006/main" count="23000" uniqueCount="19202">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</sst>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8">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一般" xfId="0" builtinId="0"/>
    <cellStyle name="一般 7" xfId="593" xr:uid="{00000000-0005-0000-0000-0000C502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C6020000}"/>
    <cellStyle name="標準 2 2" xfId="595" xr:uid="{00000000-0005-0000-0000-0000C7020000}"/>
    <cellStyle name="標準 2 3" xfId="596" xr:uid="{00000000-0005-0000-0000-0000C802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abSelected="1"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05">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&amp;L&amp;"calibri"&amp;10&amp;KADADAD Security C-TH Confidential&amp;1#_x000D_</oddHeader>
    <oddFooter>&amp;C&amp;P / &amp;N ページ&amp;R_x000D_&amp;1#&amp;"Calibri"&amp;10&amp;KADADAD Labeler:{ liyu.lai@theil.com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&amp;L&amp;"calibri"&amp;10&amp;KADADAD Security C-TH Confidential&amp;1#_x000D_</oddHeader>
    <oddFooter>&amp;R_x000D_&amp;1#&amp;"Calibri"&amp;10&amp;KADADAD Labeler:{ liyu.lai@theil.com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D1781B0-7F6A-411D-B943-0B66477DD85B}"/>
    </customSheetView>
    <customSheetView guid="{4BDF1A28-30D5-449D-B20E-D6C97EF9FAE1}" showAutoFilter="1">
      <selection activeCell="C1" sqref="C1:D65536"/>
      <pageMargins left="0" right="0" top="0" bottom="0" header="0" footer="0"/>
      <pageSetup orientation="portrait"/>
      <autoFilter ref="B1:C1" xr:uid="{21A1D7B0-637E-43C1-8BA6-10C26C7D54D6}"/>
    </customSheetView>
  </customSheetViews>
  <phoneticPr fontId="84" type="noConversion"/>
  <pageMargins left="0.75" right="0.75" top="1" bottom="1" header="0.3" footer="0.3"/>
  <pageSetup orientation="portrait" r:id="rId1"/>
  <headerFooter>
    <oddHeader>&amp;L&amp;"calibri"&amp;10&amp;KADADAD Security C-TH Confidential&amp;1#_x000D_</oddHeader>
    <oddFooter>&amp;R_x000D_&amp;1#&amp;"Calibri"&amp;10&amp;KADADAD Labeler:{ liyu.lai@theil.com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headerFooter>
    <oddHeader>&amp;L&amp;"calibri"&amp;10&amp;KADADAD Security C-TH Confidential&amp;1#_x000D_</oddHeader>
    <oddFooter>&amp;R_x000D_&amp;1#&amp;"Calibri"&amp;10&amp;KADADAD Labeler:{ liyu.lai@theil.com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0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headerFooter>
    <oddHeader>&amp;L&amp;"calibri"&amp;10&amp;KADADAD Security C-TH Confidential&amp;1#_x000D_</oddHeader>
    <oddFooter>&amp;R_x000D_&amp;1#&amp;"Calibri"&amp;10&amp;KADADAD Labeler:{ liyu.lai@theil.com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Normal="100" workbookViewId="0">
      <selection activeCell="D8" sqref="D8:J8"/>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3"/>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Declaration Scope or Class (*):</v>
      </c>
      <c r="C9" s="67"/>
      <c r="D9" s="357"/>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7">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3"/>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7">
      <c r="A16" s="32"/>
      <c r="B16" s="34" t="str">
        <f ca="1">OFFSET(L!$C$1,MATCH("Declaration"&amp;ADDRESS(ROW(),COLUMN(),4),L!$A:$A,0)-1,SL,,)</f>
        <v>Email – Contact (*):</v>
      </c>
      <c r="C16" s="68"/>
      <c r="D16" s="392"/>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3"/>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2"/>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headerFooter>
    <oddHeader>&amp;L&amp;"calibri"&amp;10&amp;KADADAD Security C-TH Confidential&amp;1#_x000D_</oddHeader>
    <oddFooter>&amp;R_x000D_&amp;1#&amp;"Calibri"&amp;10&amp;KADADAD Labeler:{ liyu.lai@theil.com }</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&amp;L&amp;"calibri"&amp;10&amp;KADADAD Security C-TH Confidential&amp;1#_x000D_&amp;C&amp;P ページ</oddHeader>
    <oddFooter>&amp;R_x000D_&amp;1#&amp;"Calibri"&amp;10&amp;KADADAD Labeler:{ liyu.lai@theil.com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Click here to return to Smelter List</v>
      </c>
      <c r="C2" s="112" t="str">
        <f>IF(F59=1,"Click here to return to Product List","")</f>
        <v/>
      </c>
      <c r="D2" s="134">
        <f ca="1">IF(H65=0,"0",H65)</f>
        <v>31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5">
      <c r="A4" s="136" t="str">
        <f ca="1">Declaration!B8</f>
        <v>Company Name (*):</v>
      </c>
      <c r="B4" s="80">
        <f>Declaration!D8</f>
        <v>0</v>
      </c>
      <c r="C4" s="137" t="str">
        <f t="shared" ref="C4:C9" ca="1" si="0">IF(H4=1,J4,I4)</f>
        <v>Provide your company name on the Declaration tab cell D8</v>
      </c>
      <c r="D4" s="206" t="str">
        <f>IF(H4=1,"Click here to enter Company Name","")</f>
        <v>Click here to enter Company Name</v>
      </c>
      <c r="E4" s="17" t="s">
        <v>15</v>
      </c>
      <c r="F4" s="84">
        <v>1</v>
      </c>
      <c r="G4" s="63">
        <f t="shared" ref="G4:G9" si="1">IF(B4=0,1,0)</f>
        <v>1</v>
      </c>
      <c r="H4" s="64">
        <f>F4*G4</f>
        <v>1</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f>Declaration!D9</f>
        <v>0</v>
      </c>
      <c r="C5" s="137" t="str">
        <f t="shared" ca="1" si="0"/>
        <v>Select the scope of declaration on the Declaration tab cell D9</v>
      </c>
      <c r="D5" s="86" t="str">
        <f>IF(H5=1,"Click here to enter Declaration Scope","")</f>
        <v>Click here to enter Declaration Scope</v>
      </c>
      <c r="E5" s="17" t="s">
        <v>15</v>
      </c>
      <c r="F5" s="84">
        <v>1</v>
      </c>
      <c r="G5" s="63">
        <f t="shared" si="1"/>
        <v>1</v>
      </c>
      <c r="H5" s="64">
        <f t="shared" ref="H5:H18" si="2">F5*G5</f>
        <v>1</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f>Declaration!D15</f>
        <v>0</v>
      </c>
      <c r="C7" s="137" t="str">
        <f t="shared" ca="1" si="0"/>
        <v>Provide contact name in Declaration tab cell D15</v>
      </c>
      <c r="D7" s="86" t="str">
        <f>IF(H7=1,"Click here to enter Contact Name","")</f>
        <v>Click here to enter Contact Name</v>
      </c>
      <c r="E7" s="17" t="s">
        <v>15</v>
      </c>
      <c r="F7" s="84">
        <v>1</v>
      </c>
      <c r="G7" s="63">
        <f t="shared" si="1"/>
        <v>1</v>
      </c>
      <c r="H7" s="64">
        <f t="shared" si="2"/>
        <v>1</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f>Declaration!D16</f>
        <v>0</v>
      </c>
      <c r="C8" s="137" t="str">
        <f t="shared" ca="1" si="0"/>
        <v>Provide a valid email for contact in Declaration tab cell D16</v>
      </c>
      <c r="D8" s="86" t="str">
        <f>IF(H8=1,"Click here to enter Email-Contact","")</f>
        <v>Click here to enter Email-Contact</v>
      </c>
      <c r="E8" s="17" t="s">
        <v>15</v>
      </c>
      <c r="F8" s="84">
        <v>1</v>
      </c>
      <c r="G8" s="63">
        <f>IF(ISNUMBER(SEARCH("@",B8)),0,1)</f>
        <v>1</v>
      </c>
      <c r="H8" s="64">
        <f t="shared" si="2"/>
        <v>1</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f>Declaration!D17</f>
        <v>0</v>
      </c>
      <c r="C9" s="137" t="str">
        <f t="shared" ca="1" si="0"/>
        <v>Provide a phone number for contact in Declaration tab cell D17</v>
      </c>
      <c r="D9" s="86" t="str">
        <f>IF(H9=1,"Click here to enter Phone-Contact","")</f>
        <v>Click here to enter Phone-Contact</v>
      </c>
      <c r="E9" s="17" t="s">
        <v>15</v>
      </c>
      <c r="F9" s="84">
        <v>1</v>
      </c>
      <c r="G9" s="63">
        <f t="shared" si="1"/>
        <v>1</v>
      </c>
      <c r="H9" s="64">
        <f t="shared" si="2"/>
        <v>1</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f>Declaration!D18</f>
        <v>0</v>
      </c>
      <c r="C10" s="137" t="str">
        <f t="shared" ref="C10:C58" ca="1" si="3">IF(H10=1,J10,I10)</f>
        <v>Provide authorized company representative contact name in Declaration tab cell D18</v>
      </c>
      <c r="D10" s="86" t="str">
        <f>IF(H10=1,"Click here to enter an Authorized Company Representative's name","")</f>
        <v>Click here to enter an Authorized Company Representative's name</v>
      </c>
      <c r="E10" s="17" t="s">
        <v>15</v>
      </c>
      <c r="F10" s="84">
        <v>1</v>
      </c>
      <c r="G10" s="63">
        <f t="shared" ref="G10:G18" si="4">IF(B10=0,1,0)</f>
        <v>1</v>
      </c>
      <c r="H10" s="64">
        <f t="shared" si="2"/>
        <v>1</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f>Declaration!D20</f>
        <v>0</v>
      </c>
      <c r="C11" s="80" t="str">
        <f t="shared" ca="1" si="3"/>
        <v>Provide an email for authorized company representative on Declaration tab cell D20</v>
      </c>
      <c r="D11" s="86" t="str">
        <f>IF(H11=1,"Click here to enter Representative's email","")</f>
        <v>Click here to enter Representative's email</v>
      </c>
      <c r="E11" s="17" t="s">
        <v>15</v>
      </c>
      <c r="F11" s="84">
        <v>1</v>
      </c>
      <c r="G11" s="63">
        <f>IF(ISNUMBER(SEARCH("@",B11)),0,1)</f>
        <v>1</v>
      </c>
      <c r="H11" s="64">
        <f t="shared" si="2"/>
        <v>1</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0</v>
      </c>
      <c r="C13" s="80" t="str">
        <f t="shared" ca="1" si="3"/>
        <v>Provide date the form was completed on Declaration tab cell D22</v>
      </c>
      <c r="D13" s="86" t="str">
        <f>IF(H13=1,"Click here to enter Date of Completion","")</f>
        <v>Click here to enter Date of Completion</v>
      </c>
      <c r="E13" s="17" t="s">
        <v>15</v>
      </c>
      <c r="F13" s="84">
        <v>1</v>
      </c>
      <c r="G13" s="63">
        <f t="shared" si="4"/>
        <v>1</v>
      </c>
      <c r="H13" s="64">
        <f t="shared" si="2"/>
        <v>1</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4">
      <c r="A15" s="81" t="str">
        <f ca="1">Declaration!B26</f>
        <v>Cobalt(*)</v>
      </c>
      <c r="B15" s="80">
        <f>Declaration!D26</f>
        <v>0</v>
      </c>
      <c r="C15" s="80" t="str">
        <f t="shared" ca="1" si="3"/>
        <v>Declare if cobalt is intentionally added to your products on Declaration tab cell D26</v>
      </c>
      <c r="D15" s="86" t="str">
        <f>IF(H15=1,"Click here to answer question 1 for Cobalt","")</f>
        <v>Click here to answer question 1 for Cobalt</v>
      </c>
      <c r="E15" s="17" t="s">
        <v>18</v>
      </c>
      <c r="F15" s="84">
        <v>1</v>
      </c>
      <c r="G15" s="63">
        <f t="shared" si="4"/>
        <v>1</v>
      </c>
      <c r="H15" s="64">
        <f t="shared" si="2"/>
        <v>1</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f>Declaration!D27</f>
        <v>0</v>
      </c>
      <c r="C16" s="80" t="str">
        <f t="shared" ca="1" si="3"/>
        <v>Declare if natural mica is intentionally added to your products on Declaration tab cell D27</v>
      </c>
      <c r="D16" s="86" t="str">
        <f>IF(H16=1,"Click here to answer question 1 for Mica","")</f>
        <v>Click here to answer question 1 for Mica</v>
      </c>
      <c r="E16" s="17" t="s">
        <v>15</v>
      </c>
      <c r="F16" s="84">
        <v>1</v>
      </c>
      <c r="G16" s="63">
        <f t="shared" si="4"/>
        <v>1</v>
      </c>
      <c r="H16" s="64">
        <f t="shared" si="2"/>
        <v>1</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Declare if cobalt is necessary to the production of your products and contained within the finished products declared in Declaration tab cell D32</v>
      </c>
      <c r="D20" s="86" t="str">
        <f>IF(H20=1,"Click here to answer question 2 for Cobalt","")</f>
        <v>Click here to answer question 2 for Cobalt</v>
      </c>
      <c r="E20" s="17" t="s">
        <v>15</v>
      </c>
      <c r="F20" s="85">
        <f>IF(OR(B$15="No",B$15="Unknown",B$15="Not applicable for this declaration"),0,1)</f>
        <v>1</v>
      </c>
      <c r="G20" s="63">
        <f>IF(B20=0,1,0)</f>
        <v>1</v>
      </c>
      <c r="H20" s="64">
        <f>F20*G20</f>
        <v>1</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Declare if mica is necessary to the production of your products and contained within the finished products declared in Declaration tab cell D33</v>
      </c>
      <c r="D21" s="232" t="str">
        <f>IF(H21=1,"Click here to answer question 2 for Mica","")</f>
        <v>Click here to answer question 2 for Mica</v>
      </c>
      <c r="E21" s="17" t="s">
        <v>15</v>
      </c>
      <c r="F21" s="85">
        <f>IF(OR(B$16="No",B$16="Unknown",B$16="Not applicable for this declaration"),0,1)</f>
        <v>1</v>
      </c>
      <c r="G21" s="63">
        <f t="shared" ref="G21" si="6">IF(B21=0,1,0)</f>
        <v>1</v>
      </c>
      <c r="H21" s="64">
        <f t="shared" ref="H21" si="7">F21*G21</f>
        <v>1</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Declare if cobalt used within the scope of products declared within this survey response originated from a conflict-affected and high-risk area on the Declaration tab cell D38</v>
      </c>
      <c r="D23" s="195" t="str">
        <f>IF(H23=1,"Click here to answer question 3 for Cobalt","")</f>
        <v>Click here to answer question 3 for Cobalt</v>
      </c>
      <c r="E23" s="17" t="s">
        <v>15</v>
      </c>
      <c r="F23" s="85">
        <f>IF(OR(B$15="No",B$15="Unknown",B$15="Not applicable for this declaration",B$20="No",B$20="Unknown",B$20="Not applicable for this declaration"),0,1)</f>
        <v>1</v>
      </c>
      <c r="G23" s="63">
        <f t="shared" ref="G23:G58" si="8">IF(B23=0,1,0)</f>
        <v>1</v>
      </c>
      <c r="H23" s="64">
        <f t="shared" ref="H23:H58" si="9">F23*G23</f>
        <v>1</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Declare if mica used within the scope of products declared within this survey response originated from a conflict-affected and high-risk area on the Declaration tab cell D39</v>
      </c>
      <c r="D24" s="232" t="str">
        <f>IF(H24=1,"Click here to answer question 3 for Mica","")</f>
        <v>Click here to answer question 3 for Mica</v>
      </c>
      <c r="E24" s="17" t="s">
        <v>15</v>
      </c>
      <c r="F24" s="85">
        <f>IF(OR(B$16="No",B$16="Unknown",B$16="Not applicable for this declaration",B$21="No",B$21="Unknown",B$21="Not applicable for this declaration"),0,1)</f>
        <v>1</v>
      </c>
      <c r="G24" s="63">
        <f t="shared" si="8"/>
        <v>1</v>
      </c>
      <c r="H24" s="64">
        <f t="shared" si="9"/>
        <v>1</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Declare if cobalt used within the scope of products declared within this survey response originated entirely from a recycled or scrap source on the Declaration tab cell D44</v>
      </c>
      <c r="D28" s="195" t="str">
        <f>IF(H28=1,"Click here to answer question 4 for Cobalt","")</f>
        <v>Click here to answer question 4 for Cobalt</v>
      </c>
      <c r="E28" s="17" t="s">
        <v>15</v>
      </c>
      <c r="F28" s="85">
        <f>F23</f>
        <v>1</v>
      </c>
      <c r="G28" s="63">
        <f>IF(B28=0,1,0)</f>
        <v>1</v>
      </c>
      <c r="H28" s="64">
        <f>F28*G28</f>
        <v>1</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Provide % of completeness of supplier's smelter information on Declaration tab cell D50</v>
      </c>
      <c r="D33" s="232" t="str">
        <f>IF(H33=1,"Click here to answer question 5 for Cobalt","")</f>
        <v>Click here to answer question 5 for Cobalt</v>
      </c>
      <c r="E33" s="17" t="s">
        <v>18</v>
      </c>
      <c r="F33" s="85">
        <f>F23</f>
        <v>1</v>
      </c>
      <c r="G33" s="63">
        <f t="shared" si="8"/>
        <v>1</v>
      </c>
      <c r="H33" s="64">
        <f t="shared" si="9"/>
        <v>1</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Provide % of completeness of supplier's smelter information on Declaration tab cell D51</v>
      </c>
      <c r="D34" s="86" t="str">
        <f>IF(H34=1,"Click here to answer question 5 for Mica","")</f>
        <v>Click here to answer question 5 for Mica</v>
      </c>
      <c r="E34" s="17" t="s">
        <v>18</v>
      </c>
      <c r="F34" s="85">
        <f>F24</f>
        <v>1</v>
      </c>
      <c r="G34" s="63">
        <f t="shared" si="8"/>
        <v>1</v>
      </c>
      <c r="H34" s="64">
        <f t="shared" si="9"/>
        <v>1</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Declare if all smelter names have been provided in this survey response under the scope of products declared on the Declaration tab cell D56</v>
      </c>
      <c r="D38" s="232" t="str">
        <f>IF(H38=1,"Click here to answer question 6 for Cobalt","")</f>
        <v>Click here to answer question 6 for Cobalt</v>
      </c>
      <c r="E38" s="17" t="s">
        <v>13</v>
      </c>
      <c r="F38" s="85">
        <f>F23</f>
        <v>1</v>
      </c>
      <c r="G38" s="63">
        <f t="shared" si="8"/>
        <v>1</v>
      </c>
      <c r="H38" s="64">
        <f t="shared" si="9"/>
        <v>1</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Declare if all smelter names have been provided in this survey response under the scope of products declared on the Declaration tab cell D57</v>
      </c>
      <c r="D39" s="88" t="str">
        <f>IF(H39=1,"Click here to answer question 6 for Mica","")</f>
        <v>Click here to answer question 6 for Mica</v>
      </c>
      <c r="E39" s="17" t="s">
        <v>13</v>
      </c>
      <c r="F39" s="85">
        <f>F24</f>
        <v>1</v>
      </c>
      <c r="G39" s="63">
        <f t="shared" si="8"/>
        <v>1</v>
      </c>
      <c r="H39" s="64">
        <f t="shared" si="9"/>
        <v>1</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Declare if all applicable cobalt smelter information has been provided on Declaration tab cell D62</v>
      </c>
      <c r="D43" s="232" t="str">
        <f>IF(H43=1,"Click here to answer question 7 for Cobalt","")</f>
        <v>Click here to answer question 7 for Cobalt</v>
      </c>
      <c r="E43" s="17" t="s">
        <v>15</v>
      </c>
      <c r="F43" s="85">
        <f>F23</f>
        <v>1</v>
      </c>
      <c r="G43" s="63">
        <f t="shared" si="8"/>
        <v>1</v>
      </c>
      <c r="H43" s="64">
        <f t="shared" si="9"/>
        <v>1</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Declare if all applicable mica processor information has been provided on Declaration tab cell D63</v>
      </c>
      <c r="D44" s="89" t="str">
        <f>IF(H44=1,"Click here to answer question 7 for Mica","")</f>
        <v>Click here to answer question 7 for Mica</v>
      </c>
      <c r="E44" s="17" t="s">
        <v>15</v>
      </c>
      <c r="F44" s="85">
        <f>F24</f>
        <v>1</v>
      </c>
      <c r="G44" s="63">
        <f t="shared" si="8"/>
        <v>1</v>
      </c>
      <c r="H44" s="64">
        <f t="shared" si="9"/>
        <v>1</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f>Declaration!D69</f>
        <v>0</v>
      </c>
      <c r="C48" s="137" t="str">
        <f t="shared" ca="1" si="3"/>
        <v>Answer if your company has a responsible minerals sourcing policy on the Declaration tab cell D69</v>
      </c>
      <c r="D48" s="230" t="str">
        <f>IF(H48=1,"Click here to answer question (A)","")</f>
        <v>Click here to answer question (A)</v>
      </c>
      <c r="E48" s="17" t="s">
        <v>15</v>
      </c>
      <c r="F48" s="85">
        <f>IF(SUM(F$23:F$24)=0,0,1)</f>
        <v>1</v>
      </c>
      <c r="G48" s="63">
        <f t="shared" si="8"/>
        <v>1</v>
      </c>
      <c r="H48" s="64">
        <f t="shared" si="9"/>
        <v>1</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f>Declaration!D71</f>
        <v>0</v>
      </c>
      <c r="C49" s="137" t="str">
        <f ca="1">IF(H49=1,J49,I49)</f>
        <v>Answer if your company has made your responsible minerals sourcing policy publically available on your website on the Declaration tab cell D71</v>
      </c>
      <c r="D49" s="195" t="str">
        <f>IF(H49=1,"Click here to answer question (B)","")</f>
        <v>Click here to answer question (B)</v>
      </c>
      <c r="E49" s="17" t="s">
        <v>15</v>
      </c>
      <c r="F49" s="85">
        <f t="shared" ref="F49:F58" si="10">F$48</f>
        <v>1</v>
      </c>
      <c r="G49" s="63">
        <f t="shared" si="8"/>
        <v>1</v>
      </c>
      <c r="H49" s="64">
        <f t="shared" si="9"/>
        <v>1</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5">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54">
      <c r="A52" s="80" t="str">
        <f ca="1">Declaration!B74</f>
        <v>Cobalt(*)</v>
      </c>
      <c r="B52" s="80">
        <f>Declaration!D74</f>
        <v>0</v>
      </c>
      <c r="C52" s="137" t="str">
        <f t="shared" ca="1" si="3"/>
        <v>Answer if you require your direct suppliers to source cobalt from smelters whose due diligence practices have been validated by an independent third-party audit program, like the Responsible Minerals Assurance Process, on Declaration tab cell D74</v>
      </c>
      <c r="D52" s="195" t="str">
        <f>IF(H52=1,"Click here to answer question (C)","")</f>
        <v>Click here to answer question (C)</v>
      </c>
      <c r="E52" s="17"/>
      <c r="F52" s="85">
        <f>F23*F$48</f>
        <v>1</v>
      </c>
      <c r="G52" s="63">
        <f t="shared" si="8"/>
        <v>1</v>
      </c>
      <c r="H52" s="64">
        <f t="shared" si="9"/>
        <v>1</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54">
      <c r="A53" s="80" t="str">
        <f ca="1">Declaration!B75</f>
        <v>Mica(*)</v>
      </c>
      <c r="B53" s="80">
        <f>Declaration!D75</f>
        <v>0</v>
      </c>
      <c r="C53" s="137" t="str">
        <f t="shared" ca="1" si="3"/>
        <v>Answer if you require your direct suppliers to source mica from processors whose due diligence practices have been validated by an independent third-party audit program, like the Responsible Minerals Assurance Process, on Declaration tab cell D75</v>
      </c>
      <c r="D53" s="195" t="str">
        <f>IF(H53=1,"Click here to answer question (C)","")</f>
        <v>Click here to answer question (C)</v>
      </c>
      <c r="E53" s="17"/>
      <c r="F53" s="85">
        <f>F24*F$48</f>
        <v>1</v>
      </c>
      <c r="G53" s="63">
        <f t="shared" si="8"/>
        <v>1</v>
      </c>
      <c r="H53" s="64">
        <f t="shared" si="9"/>
        <v>1</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f>Declaration!D77</f>
        <v>0</v>
      </c>
      <c r="C54" s="137" t="str">
        <f ca="1">IF(H54=1,J54,I54)</f>
        <v>Answer if you have implemented due diligence measures for responsible sourcing on Declaration tab cell D77</v>
      </c>
      <c r="D54" s="195" t="str">
        <f>IF(H54=1,"Click here to answer question (D)","")</f>
        <v>Click here to answer question (D)</v>
      </c>
      <c r="E54" s="17" t="s">
        <v>15</v>
      </c>
      <c r="F54" s="85">
        <f t="shared" si="10"/>
        <v>1</v>
      </c>
      <c r="G54" s="63">
        <f t="shared" si="8"/>
        <v>1</v>
      </c>
      <c r="H54" s="64">
        <f t="shared" si="9"/>
        <v>1</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Answer if you conduct cobalt or natural mica supply chain surveys on the declaration tab cell D79</v>
      </c>
      <c r="D55" s="195" t="str">
        <f>IF(H55=1,"Click here to answer question (E)","")</f>
        <v>Click here to answer question (E)</v>
      </c>
      <c r="E55" s="17" t="s">
        <v>15</v>
      </c>
      <c r="F55" s="85">
        <f t="shared" si="10"/>
        <v>1</v>
      </c>
      <c r="G55" s="63">
        <f>IF(B55=0,1,0)</f>
        <v>1</v>
      </c>
      <c r="H55" s="64">
        <f t="shared" si="9"/>
        <v>1</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f>Declaration!D81</f>
        <v>0</v>
      </c>
      <c r="C57" s="137" t="str">
        <f ca="1">IF(H57=1,J57,I57)</f>
        <v>Answer if you verify responses from your suppliers against your company's expectations on Declaration tab cell D81</v>
      </c>
      <c r="D57" s="195" t="str">
        <f>IF(H57=1,"Click here to answer question (F)","")</f>
        <v>Click here to answer question (F)</v>
      </c>
      <c r="E57" s="17" t="s">
        <v>15</v>
      </c>
      <c r="F57" s="85">
        <f t="shared" si="10"/>
        <v>1</v>
      </c>
      <c r="G57" s="63">
        <f>IF(B57=0,1,0)</f>
        <v>1</v>
      </c>
      <c r="H57" s="64">
        <f t="shared" si="9"/>
        <v>1</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f>Declaration!D83</f>
        <v>0</v>
      </c>
      <c r="C58" s="137" t="str">
        <f t="shared" ca="1" si="3"/>
        <v>Answer if your verification process includes corrective action management on Declaration tab cell D83</v>
      </c>
      <c r="D58" s="195" t="str">
        <f>IF(H58=1,"Click here to answer question (G)","")</f>
        <v>Click here to answer question (G)</v>
      </c>
      <c r="E58" s="17" t="s">
        <v>15</v>
      </c>
      <c r="F58" s="85">
        <f t="shared" si="10"/>
        <v>1</v>
      </c>
      <c r="G58" s="63">
        <f t="shared" si="8"/>
        <v>1</v>
      </c>
      <c r="H58" s="64">
        <f t="shared" si="9"/>
        <v>1</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List'!AB$5:AB$2500,"Cobalt?*")&gt;0),0,1)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1</v>
      </c>
      <c r="L60" s="16" t="e">
        <f ca="1">OFFSET(L!$C$1,MATCH("Checker"&amp;ADDRESS(ROW(),COLUMN(),4),L!$A:$A,0)-1,SL,,)</f>
        <v>#N/A</v>
      </c>
    </row>
    <row r="61" spans="1:12" ht="41">
      <c r="A61" s="136" t="s">
        <v>60</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1</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31</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headerFooter>
    <oddHeader>&amp;L&amp;"calibri"&amp;10&amp;KADADAD Security C-TH Confidential&amp;1#_x000D_</oddHeader>
    <oddFooter>&amp;R_x000D_&amp;1#&amp;"Calibri"&amp;10&amp;KADADAD Labeler:{ liyu.lai@theil.com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&amp;L&amp;"calibri"&amp;10&amp;KADADAD Security C-TH Confidential&amp;1#_x000D_</oddHeader>
    <oddFooter>&amp;CPage &amp;P of &amp;N&amp;R_x000D_&amp;1#&amp;"Calibri"&amp;10&amp;KADADAD Labeler:{ liyu.lai@theil.com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&amp;L&amp;"calibri"&amp;10&amp;KADADAD Security C-TH Confidential&amp;1#_x000D_</oddHeader>
    <oddFooter>&amp;R_x000D_&amp;1#&amp;"Calibri"&amp;10&amp;KADADAD Labeler:{ liyu.lai@theil.com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29">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27">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08">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94.5">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391.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29.5">
      <c r="A29" s="127" t="str">
        <f t="shared" si="1"/>
        <v>InstructionsA30</v>
      </c>
      <c r="B29" s="127" t="s">
        <v>380</v>
      </c>
      <c r="C29" s="127" t="s">
        <v>539</v>
      </c>
      <c r="D29" s="127" t="s">
        <v>540</v>
      </c>
      <c r="E29" s="249" t="s">
        <v>541</v>
      </c>
      <c r="F29" s="246" t="s">
        <v>542</v>
      </c>
      <c r="G29" s="127" t="s">
        <v>543</v>
      </c>
      <c r="H29" s="297" t="s">
        <v>544</v>
      </c>
      <c r="I29" s="127" t="s">
        <v>18987</v>
      </c>
    </row>
    <row r="30" spans="1:9" ht="202.5">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54">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75.5">
      <c r="A38" s="127" t="str">
        <f t="shared" si="0"/>
        <v>InstructionsA40</v>
      </c>
      <c r="B38" s="127" t="s">
        <v>380</v>
      </c>
      <c r="C38" s="127" t="s">
        <v>593</v>
      </c>
      <c r="D38" s="251" t="s">
        <v>594</v>
      </c>
      <c r="E38" s="252" t="s">
        <v>595</v>
      </c>
      <c r="F38" s="293" t="s">
        <v>596</v>
      </c>
      <c r="G38" s="251" t="s">
        <v>597</v>
      </c>
      <c r="H38" s="297" t="s">
        <v>598</v>
      </c>
      <c r="I38" s="127" t="s">
        <v>18995</v>
      </c>
    </row>
    <row r="39" spans="1:9" ht="216">
      <c r="A39" s="127" t="str">
        <f>B39&amp;C39</f>
        <v>InstructionsA41</v>
      </c>
      <c r="B39" s="127" t="s">
        <v>380</v>
      </c>
      <c r="C39" s="127" t="s">
        <v>599</v>
      </c>
      <c r="D39" s="251" t="s">
        <v>600</v>
      </c>
      <c r="E39" s="252" t="s">
        <v>601</v>
      </c>
      <c r="F39" s="293" t="s">
        <v>602</v>
      </c>
      <c r="G39" s="255" t="s">
        <v>603</v>
      </c>
      <c r="H39" s="301" t="s">
        <v>604</v>
      </c>
      <c r="I39" s="127" t="s">
        <v>18996</v>
      </c>
    </row>
    <row r="40" spans="1:9" ht="216">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3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297">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75.5">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75.5">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70">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35">
      <c r="A64" s="127" t="str">
        <f t="shared" si="0"/>
        <v>InstructionsA70</v>
      </c>
      <c r="B64" s="127" t="s">
        <v>380</v>
      </c>
      <c r="C64" s="127" t="s">
        <v>749</v>
      </c>
      <c r="D64" s="127" t="s">
        <v>750</v>
      </c>
      <c r="E64" s="245" t="s">
        <v>751</v>
      </c>
      <c r="F64" s="246" t="s">
        <v>752</v>
      </c>
      <c r="G64" s="257" t="s">
        <v>753</v>
      </c>
      <c r="H64" s="297" t="s">
        <v>754</v>
      </c>
      <c r="I64" s="127" t="s">
        <v>19020</v>
      </c>
    </row>
    <row r="65" spans="1:9" ht="283.5">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21.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02.5">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54">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1">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0.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0.5">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40.5">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0.5">
      <c r="A147" s="127" t="str">
        <f t="shared" si="6"/>
        <v>DeclarationB79</v>
      </c>
      <c r="B147" s="127" t="s">
        <v>1008</v>
      </c>
      <c r="C147" s="127" t="s">
        <v>1219</v>
      </c>
      <c r="D147" s="127" t="s">
        <v>1220</v>
      </c>
      <c r="E147" s="249" t="s">
        <v>1221</v>
      </c>
      <c r="F147" s="291" t="s">
        <v>1222</v>
      </c>
      <c r="G147" s="127" t="s">
        <v>1223</v>
      </c>
      <c r="H147" s="297" t="s">
        <v>1224</v>
      </c>
      <c r="I147" s="127" t="s">
        <v>19094</v>
      </c>
    </row>
    <row r="148" spans="1:9" ht="40.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0.5">
      <c r="A237" s="127" t="str">
        <f t="shared" si="8"/>
        <v>CheckerJ20</v>
      </c>
      <c r="B237" s="127" t="s">
        <v>1472</v>
      </c>
      <c r="C237" s="127" t="s">
        <v>1594</v>
      </c>
      <c r="D237" s="251" t="s">
        <v>1595</v>
      </c>
      <c r="E237" s="252" t="s">
        <v>1596</v>
      </c>
      <c r="F237" s="259" t="s">
        <v>1597</v>
      </c>
      <c r="G237" s="264" t="s">
        <v>1598</v>
      </c>
      <c r="H237" s="297" t="s">
        <v>1599</v>
      </c>
      <c r="I237" s="127" t="s">
        <v>19162</v>
      </c>
    </row>
    <row r="238" spans="1:9" ht="40.5">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1">
      <c r="A260" s="127" t="str">
        <f>B260&amp;C260</f>
        <v>CheckerJ50</v>
      </c>
      <c r="B260" s="127" t="s">
        <v>1472</v>
      </c>
      <c r="C260" s="127" t="s">
        <v>1681</v>
      </c>
      <c r="D260" s="127" t="s">
        <v>1693</v>
      </c>
      <c r="E260" s="249" t="s">
        <v>1694</v>
      </c>
      <c r="F260" s="283" t="s">
        <v>1695</v>
      </c>
      <c r="G260" s="254" t="s">
        <v>1696</v>
      </c>
      <c r="H260" s="297" t="s">
        <v>1697</v>
      </c>
      <c r="I260" s="127" t="s">
        <v>19179</v>
      </c>
    </row>
    <row r="261" spans="1:9" ht="40.5">
      <c r="A261" s="127" t="str">
        <f t="shared" si="9"/>
        <v>CheckerJ54</v>
      </c>
      <c r="B261" s="127" t="s">
        <v>1472</v>
      </c>
      <c r="C261" s="127" t="s">
        <v>1675</v>
      </c>
      <c r="D261" s="251" t="s">
        <v>12675</v>
      </c>
      <c r="E261" s="252" t="s">
        <v>12676</v>
      </c>
      <c r="F261" s="259" t="s">
        <v>12677</v>
      </c>
      <c r="G261" s="282" t="s">
        <v>12678</v>
      </c>
      <c r="H261" s="297" t="s">
        <v>12679</v>
      </c>
      <c r="I261" s="127" t="s">
        <v>19180</v>
      </c>
    </row>
    <row r="262" spans="1:9" ht="40.5"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28">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E75AA33-367D-40BF-8828-749A73A7BB27}"/>
    </customSheetView>
    <customSheetView guid="{4BDF1A28-30D5-449D-B20E-D6C97EF9FAE1}" showAutoFilter="1">
      <selection activeCell="C174" sqref="C174"/>
      <pageMargins left="0" right="0" top="0" bottom="0" header="0" footer="0"/>
      <pageSetup paperSize="9" orientation="portrait"/>
      <autoFilter ref="B1:N1" xr:uid="{99D7BB62-13D9-4CA7-B452-993037375D42}"/>
    </customSheetView>
  </customSheetViews>
  <phoneticPr fontId="84" type="noConversion"/>
  <pageMargins left="0.75" right="0.75" top="1" bottom="1" header="0.3" footer="0.3"/>
  <pageSetup paperSize="9" orientation="portrait" r:id="rId1"/>
  <headerFooter>
    <oddHeader>&amp;L&amp;"calibri"&amp;10&amp;KADADAD Security C-TH Confidential&amp;1#_x000D_</oddHeader>
    <oddFooter>&amp;R_x000D_&amp;1#&amp;"Calibri"&amp;10&amp;KADADAD Labeler:{ liyu.lai@theil.com }</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adaf7f72-99af-42e6-a6a5-1768b456778c}" enabled="1" method="Privileged" siteId="{bfaccad2-83f0-478b-a178-9e40a473484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Lisa Lai(賴麗玉)</cp:lastModifiedBy>
  <cp:revision/>
  <dcterms:created xsi:type="dcterms:W3CDTF">2010-06-21T21:00:23Z</dcterms:created>
  <dcterms:modified xsi:type="dcterms:W3CDTF">2024-05-02T07:52:32Z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